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04"/>
  <workbookPr codeName="ThisWorkbook" defaultThemeVersion="124226"/>
  <mc:AlternateContent xmlns:mc="http://schemas.openxmlformats.org/markup-compatibility/2006">
    <mc:Choice Requires="x15">
      <x15ac:absPath xmlns:x15ac="http://schemas.microsoft.com/office/spreadsheetml/2010/11/ac" url="C:\Users\MEsperMa\Documents\"/>
    </mc:Choice>
  </mc:AlternateContent>
  <xr:revisionPtr revIDLastSave="0" documentId="8_{7D113F2E-170D-4CA0-9699-0FA558D227FE}" xr6:coauthVersionLast="47" xr6:coauthVersionMax="47" xr10:uidLastSave="{00000000-0000-0000-0000-000000000000}"/>
  <bookViews>
    <workbookView xWindow="-110" yWindow="-110" windowWidth="19420" windowHeight="10420" tabRatio="787" firstSheet="1" activeTab="1" xr2:uid="{2CAACC18-052B-4B82-A316-51A982CEE241}"/>
  </bookViews>
  <sheets>
    <sheet name="Directions" sheetId="6" r:id="rId1"/>
    <sheet name="11.17" sheetId="1" r:id="rId2"/>
    <sheet name="CodesOnFile" sheetId="18" r:id="rId3"/>
    <sheet name="Rehab estimate " sheetId="3" r:id="rId4"/>
    <sheet name="CO1" sheetId="7" r:id="rId5"/>
    <sheet name="CO2" sheetId="13" r:id="rId6"/>
    <sheet name="CO3" sheetId="14" r:id="rId7"/>
    <sheet name="CO4" sheetId="15" r:id="rId8"/>
    <sheet name="CO5" sheetId="16" r:id="rId9"/>
    <sheet name="ProjectInfoCompPrice" sheetId="5" state="hidden" r:id="rId10"/>
    <sheet name="Supplement" sheetId="4" state="hidden" r:id="rId11"/>
  </sheets>
  <definedNames>
    <definedName name="_xlnm._FilterDatabase" localSheetId="9" hidden="1">ProjectInfoCompPrice!$A$2:$G$62</definedName>
    <definedName name="Accessibility">Supplement!$B$85:$B$90</definedName>
    <definedName name="Code">Supplement!$B$94:$B$128</definedName>
    <definedName name="CompPrice">ProjectInfoCompPrice!$Y$4:$Y$16</definedName>
    <definedName name="Demo">Supplement!$B$57:$B$84</definedName>
    <definedName name="Elevation">Supplement!$B$39:$B$56</definedName>
    <definedName name="Lift">Supplement!$B$91:$B$93</definedName>
    <definedName name="_xlnm.Print_Area" localSheetId="1">'11.17'!$A$1:$H$159</definedName>
    <definedName name="SitePrep">Supplement!$B$2:$B$38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13" i="1" l="1"/>
  <c r="G112" i="1"/>
  <c r="G111" i="1"/>
  <c r="G110" i="1"/>
  <c r="G109" i="1"/>
  <c r="G78" i="1"/>
  <c r="G77" i="1"/>
  <c r="G76" i="1"/>
  <c r="G75" i="1"/>
  <c r="G74" i="1"/>
  <c r="G73" i="1"/>
  <c r="G72" i="1"/>
  <c r="G62" i="1"/>
  <c r="G61" i="1"/>
  <c r="G60" i="1"/>
  <c r="G59" i="1"/>
  <c r="G58" i="1"/>
  <c r="G57" i="1"/>
  <c r="G56" i="1"/>
  <c r="G55" i="1"/>
  <c r="G54" i="1"/>
  <c r="G53" i="1"/>
  <c r="G36" i="1"/>
  <c r="G35" i="1"/>
  <c r="G34" i="1"/>
  <c r="G33" i="1"/>
  <c r="G32" i="1"/>
  <c r="G31" i="1"/>
  <c r="G30" i="1"/>
  <c r="G29" i="1"/>
  <c r="G28" i="1"/>
  <c r="G27" i="1"/>
  <c r="G26" i="1"/>
  <c r="G25" i="1"/>
  <c r="G24" i="1"/>
  <c r="G23" i="1"/>
  <c r="G22" i="1"/>
  <c r="G21" i="1"/>
  <c r="G81" i="1"/>
  <c r="M64" i="5" l="1"/>
  <c r="M65" i="5"/>
  <c r="M66" i="5"/>
  <c r="M67" i="5"/>
  <c r="M68" i="5"/>
  <c r="M69" i="5"/>
  <c r="M70" i="5"/>
  <c r="M71" i="5"/>
  <c r="M72" i="5"/>
  <c r="M73" i="5"/>
  <c r="M74" i="5"/>
  <c r="M75" i="5"/>
  <c r="M76" i="5"/>
  <c r="M77" i="5"/>
  <c r="M78" i="5"/>
  <c r="M63" i="5"/>
  <c r="AA2" i="5"/>
  <c r="M84" i="5"/>
  <c r="M85" i="5"/>
  <c r="M86" i="5"/>
  <c r="M87" i="5"/>
  <c r="M88" i="5"/>
  <c r="M89" i="5"/>
  <c r="M90" i="5"/>
  <c r="M91" i="5"/>
  <c r="M92" i="5"/>
  <c r="M93" i="5"/>
  <c r="M94" i="5"/>
  <c r="M95" i="5"/>
  <c r="M96" i="5"/>
  <c r="M97" i="5"/>
  <c r="M83" i="5"/>
  <c r="M39" i="5"/>
  <c r="M40" i="5"/>
  <c r="M41" i="5"/>
  <c r="M42" i="5"/>
  <c r="M43" i="5"/>
  <c r="M44" i="5"/>
  <c r="M45" i="5"/>
  <c r="M46" i="5"/>
  <c r="M47" i="5"/>
  <c r="M48" i="5"/>
  <c r="M49" i="5"/>
  <c r="M50" i="5"/>
  <c r="M51" i="5"/>
  <c r="M52" i="5"/>
  <c r="M53" i="5"/>
  <c r="M54" i="5"/>
  <c r="M55" i="5"/>
  <c r="M56" i="5"/>
  <c r="M57" i="5"/>
  <c r="M58" i="5"/>
  <c r="M38" i="5"/>
  <c r="M5" i="5"/>
  <c r="M6" i="5"/>
  <c r="M7" i="5"/>
  <c r="M8" i="5"/>
  <c r="M9" i="5"/>
  <c r="M10" i="5"/>
  <c r="M11" i="5"/>
  <c r="M12" i="5"/>
  <c r="M13" i="5"/>
  <c r="M14" i="5"/>
  <c r="M15" i="5"/>
  <c r="M16" i="5"/>
  <c r="M17" i="5"/>
  <c r="M18" i="5"/>
  <c r="M19" i="5"/>
  <c r="M20" i="5"/>
  <c r="M21" i="5"/>
  <c r="M22" i="5"/>
  <c r="M23" i="5"/>
  <c r="M24" i="5"/>
  <c r="M25" i="5"/>
  <c r="M26" i="5"/>
  <c r="M27" i="5"/>
  <c r="M28" i="5"/>
  <c r="M29" i="5"/>
  <c r="M30" i="5"/>
  <c r="M31" i="5"/>
  <c r="M32" i="5"/>
  <c r="M33" i="5"/>
  <c r="M4" i="5"/>
  <c r="F78" i="1"/>
  <c r="G130" i="1" l="1"/>
  <c r="C131" i="1"/>
  <c r="E11" i="1" l="1"/>
  <c r="D11" i="1"/>
  <c r="C7" i="1"/>
  <c r="C6" i="1" l="1"/>
  <c r="H53" i="1" l="1"/>
  <c r="G116" i="1"/>
  <c r="G117" i="1"/>
  <c r="G115" i="1"/>
  <c r="E21" i="1"/>
  <c r="D78" i="1"/>
  <c r="M132" i="7" l="1"/>
  <c r="K23" i="13" l="1"/>
  <c r="K17" i="13"/>
  <c r="L23" i="7"/>
  <c r="L17" i="7"/>
  <c r="K17" i="14"/>
  <c r="G2" i="7"/>
  <c r="G12" i="1"/>
  <c r="H21" i="1" l="1"/>
  <c r="C76" i="4" l="1"/>
  <c r="F76" i="4" s="1"/>
  <c r="C75" i="4"/>
  <c r="F75" i="4" s="1"/>
  <c r="C74" i="4"/>
  <c r="F74" i="4" s="1"/>
  <c r="C73" i="4"/>
  <c r="F73" i="4" s="1"/>
  <c r="C72" i="4"/>
  <c r="F72" i="4" s="1"/>
  <c r="C71" i="4"/>
  <c r="F71" i="4" s="1"/>
  <c r="C70" i="4"/>
  <c r="F70" i="4" s="1"/>
  <c r="C69" i="4"/>
  <c r="F69" i="4" s="1"/>
  <c r="K5" i="16"/>
  <c r="K5" i="15"/>
  <c r="K5" i="14"/>
  <c r="K5" i="13"/>
  <c r="L5" i="7"/>
  <c r="F113" i="1" l="1"/>
  <c r="E113" i="1"/>
  <c r="F112" i="1"/>
  <c r="E112" i="1"/>
  <c r="F111" i="1"/>
  <c r="E111" i="1"/>
  <c r="F110" i="1"/>
  <c r="E110" i="1"/>
  <c r="F109" i="1"/>
  <c r="E109" i="1"/>
  <c r="F77" i="1"/>
  <c r="E77" i="1"/>
  <c r="F76" i="1"/>
  <c r="E76" i="1"/>
  <c r="F75" i="1"/>
  <c r="E75" i="1"/>
  <c r="F74" i="1"/>
  <c r="E74" i="1"/>
  <c r="F73" i="1"/>
  <c r="E73" i="1"/>
  <c r="F72" i="1"/>
  <c r="E72" i="1"/>
  <c r="F62" i="1"/>
  <c r="E62" i="1"/>
  <c r="F61" i="1"/>
  <c r="E61" i="1"/>
  <c r="F60" i="1"/>
  <c r="E60" i="1"/>
  <c r="F59" i="1"/>
  <c r="E59" i="1"/>
  <c r="F58" i="1"/>
  <c r="E58" i="1"/>
  <c r="F57" i="1"/>
  <c r="E57" i="1"/>
  <c r="F56" i="1"/>
  <c r="E56" i="1"/>
  <c r="F55" i="1"/>
  <c r="E55" i="1"/>
  <c r="F54" i="1"/>
  <c r="E54" i="1"/>
  <c r="F53" i="1"/>
  <c r="E53" i="1"/>
  <c r="E46" i="1"/>
  <c r="G46" i="1" s="1"/>
  <c r="F36" i="1"/>
  <c r="E36" i="1"/>
  <c r="F35" i="1"/>
  <c r="E35" i="1"/>
  <c r="F34" i="1"/>
  <c r="E34" i="1"/>
  <c r="F33" i="1"/>
  <c r="E33" i="1"/>
  <c r="F32" i="1"/>
  <c r="E32" i="1"/>
  <c r="F31" i="1"/>
  <c r="E31" i="1"/>
  <c r="F30" i="1"/>
  <c r="E30" i="1"/>
  <c r="F29" i="1"/>
  <c r="E29" i="1"/>
  <c r="F28" i="1"/>
  <c r="E28" i="1"/>
  <c r="F27" i="1"/>
  <c r="E27" i="1"/>
  <c r="F26" i="1"/>
  <c r="E26" i="1"/>
  <c r="F25" i="1"/>
  <c r="E25" i="1"/>
  <c r="F24" i="1"/>
  <c r="E24" i="1"/>
  <c r="F23" i="1"/>
  <c r="E23" i="1"/>
  <c r="F22" i="1"/>
  <c r="E22" i="1"/>
  <c r="F21" i="1"/>
  <c r="C128" i="4"/>
  <c r="F128" i="4" s="1"/>
  <c r="C127" i="4"/>
  <c r="F127" i="4" s="1"/>
  <c r="C126" i="4"/>
  <c r="F126" i="4" s="1"/>
  <c r="C125" i="4"/>
  <c r="F125" i="4" s="1"/>
  <c r="C124" i="4"/>
  <c r="F124" i="4" s="1"/>
  <c r="C123" i="4"/>
  <c r="F123" i="4" s="1"/>
  <c r="C122" i="4"/>
  <c r="F122" i="4" s="1"/>
  <c r="C121" i="4"/>
  <c r="F121" i="4" s="1"/>
  <c r="C110" i="4"/>
  <c r="F110" i="4" s="1"/>
  <c r="C109" i="4"/>
  <c r="F109" i="4" s="1"/>
  <c r="C108" i="4"/>
  <c r="F108" i="4" s="1"/>
  <c r="C107" i="4"/>
  <c r="F107" i="4" s="1"/>
  <c r="C106" i="4"/>
  <c r="F106" i="4" s="1"/>
  <c r="C105" i="4"/>
  <c r="F105" i="4" s="1"/>
  <c r="C104" i="4"/>
  <c r="F104" i="4" s="1"/>
  <c r="C103" i="4"/>
  <c r="F103" i="4" s="1"/>
  <c r="F46" i="1" l="1"/>
  <c r="G129" i="1"/>
  <c r="K23" i="16" l="1"/>
  <c r="K17" i="16"/>
  <c r="K23" i="15"/>
  <c r="K17" i="15"/>
  <c r="K23" i="14"/>
  <c r="E78" i="1"/>
  <c r="G103" i="1" l="1"/>
  <c r="G104" i="1"/>
  <c r="G105" i="1"/>
  <c r="G96" i="1"/>
  <c r="G97" i="1"/>
  <c r="G98" i="1"/>
  <c r="G131" i="1" l="1"/>
  <c r="K126" i="16" l="1"/>
  <c r="K125" i="16"/>
  <c r="K124" i="16"/>
  <c r="K123" i="16"/>
  <c r="K117" i="16"/>
  <c r="K116" i="16"/>
  <c r="K115" i="16"/>
  <c r="K114" i="16"/>
  <c r="K108" i="16"/>
  <c r="K107" i="16"/>
  <c r="K106" i="16"/>
  <c r="K105" i="16"/>
  <c r="K98" i="16"/>
  <c r="K97" i="16"/>
  <c r="K96" i="16"/>
  <c r="K90" i="16"/>
  <c r="K89" i="16"/>
  <c r="K88" i="16"/>
  <c r="K82" i="16"/>
  <c r="K81" i="16"/>
  <c r="K80" i="16"/>
  <c r="K74" i="16"/>
  <c r="K73" i="16"/>
  <c r="K72" i="16"/>
  <c r="K65" i="16"/>
  <c r="K64" i="16"/>
  <c r="K63" i="16"/>
  <c r="K62" i="16"/>
  <c r="K61" i="16"/>
  <c r="K54" i="16"/>
  <c r="K53" i="16"/>
  <c r="K52" i="16"/>
  <c r="K51" i="16"/>
  <c r="K44" i="16"/>
  <c r="K43" i="16"/>
  <c r="K42" i="16"/>
  <c r="K41" i="16"/>
  <c r="K34" i="16"/>
  <c r="K33" i="16"/>
  <c r="K32" i="16"/>
  <c r="K31" i="16"/>
  <c r="K30" i="16"/>
  <c r="K29" i="16"/>
  <c r="K6" i="16"/>
  <c r="F6" i="16"/>
  <c r="F4" i="16"/>
  <c r="F2" i="16"/>
  <c r="K126" i="15"/>
  <c r="K125" i="15"/>
  <c r="K124" i="15"/>
  <c r="K123" i="15"/>
  <c r="K117" i="15"/>
  <c r="K116" i="15"/>
  <c r="K115" i="15"/>
  <c r="K114" i="15"/>
  <c r="K108" i="15"/>
  <c r="K107" i="15"/>
  <c r="K106" i="15"/>
  <c r="K105" i="15"/>
  <c r="K98" i="15"/>
  <c r="K97" i="15"/>
  <c r="K96" i="15"/>
  <c r="K90" i="15"/>
  <c r="K89" i="15"/>
  <c r="K88" i="15"/>
  <c r="K82" i="15"/>
  <c r="K81" i="15"/>
  <c r="K80" i="15"/>
  <c r="K74" i="15"/>
  <c r="K73" i="15"/>
  <c r="K72" i="15"/>
  <c r="K65" i="15"/>
  <c r="K64" i="15"/>
  <c r="K63" i="15"/>
  <c r="K62" i="15"/>
  <c r="K61" i="15"/>
  <c r="K54" i="15"/>
  <c r="K53" i="15"/>
  <c r="K52" i="15"/>
  <c r="K51" i="15"/>
  <c r="K44" i="15"/>
  <c r="K43" i="15"/>
  <c r="K42" i="15"/>
  <c r="K41" i="15"/>
  <c r="K34" i="15"/>
  <c r="K33" i="15"/>
  <c r="K32" i="15"/>
  <c r="K31" i="15"/>
  <c r="K30" i="15"/>
  <c r="K29" i="15"/>
  <c r="K6" i="15"/>
  <c r="F6" i="15"/>
  <c r="F4" i="15"/>
  <c r="F2" i="15"/>
  <c r="K126" i="14"/>
  <c r="K125" i="14"/>
  <c r="K124" i="14"/>
  <c r="K123" i="14"/>
  <c r="K117" i="14"/>
  <c r="K116" i="14"/>
  <c r="K115" i="14"/>
  <c r="K114" i="14"/>
  <c r="K108" i="14"/>
  <c r="K107" i="14"/>
  <c r="K106" i="14"/>
  <c r="K105" i="14"/>
  <c r="K98" i="14"/>
  <c r="K97" i="14"/>
  <c r="K96" i="14"/>
  <c r="K90" i="14"/>
  <c r="K89" i="14"/>
  <c r="K88" i="14"/>
  <c r="K82" i="14"/>
  <c r="K81" i="14"/>
  <c r="K80" i="14"/>
  <c r="K74" i="14"/>
  <c r="K73" i="14"/>
  <c r="K72" i="14"/>
  <c r="K65" i="14"/>
  <c r="K64" i="14"/>
  <c r="K63" i="14"/>
  <c r="K62" i="14"/>
  <c r="K61" i="14"/>
  <c r="K54" i="14"/>
  <c r="K53" i="14"/>
  <c r="K52" i="14"/>
  <c r="K51" i="14"/>
  <c r="K44" i="14"/>
  <c r="K43" i="14"/>
  <c r="K42" i="14"/>
  <c r="K41" i="14"/>
  <c r="K34" i="14"/>
  <c r="K33" i="14"/>
  <c r="K32" i="14"/>
  <c r="K31" i="14"/>
  <c r="K30" i="14"/>
  <c r="K29" i="14"/>
  <c r="K6" i="14"/>
  <c r="F6" i="14"/>
  <c r="F4" i="14"/>
  <c r="F2" i="14"/>
  <c r="K126" i="13"/>
  <c r="K125" i="13"/>
  <c r="K124" i="13"/>
  <c r="K123" i="13"/>
  <c r="K117" i="13"/>
  <c r="K116" i="13"/>
  <c r="K115" i="13"/>
  <c r="K114" i="13"/>
  <c r="K108" i="13"/>
  <c r="K107" i="13"/>
  <c r="K106" i="13"/>
  <c r="K105" i="13"/>
  <c r="K98" i="13"/>
  <c r="K97" i="13"/>
  <c r="K96" i="13"/>
  <c r="K90" i="13"/>
  <c r="K89" i="13"/>
  <c r="K88" i="13"/>
  <c r="K82" i="13"/>
  <c r="K81" i="13"/>
  <c r="K80" i="13"/>
  <c r="K74" i="13"/>
  <c r="K73" i="13"/>
  <c r="K72" i="13"/>
  <c r="K65" i="13"/>
  <c r="K64" i="13"/>
  <c r="K63" i="13"/>
  <c r="K62" i="13"/>
  <c r="K61" i="13"/>
  <c r="K54" i="13"/>
  <c r="K53" i="13"/>
  <c r="K52" i="13"/>
  <c r="K51" i="13"/>
  <c r="K44" i="13"/>
  <c r="K43" i="13"/>
  <c r="K42" i="13"/>
  <c r="K41" i="13"/>
  <c r="K34" i="13"/>
  <c r="K33" i="13"/>
  <c r="K32" i="13"/>
  <c r="K31" i="13"/>
  <c r="K30" i="13"/>
  <c r="K29" i="13"/>
  <c r="K6" i="13"/>
  <c r="F6" i="13"/>
  <c r="F4" i="13"/>
  <c r="F2" i="13"/>
  <c r="L132" i="13"/>
  <c r="L126" i="7"/>
  <c r="L125" i="7"/>
  <c r="L124" i="7"/>
  <c r="L123" i="7"/>
  <c r="L117" i="7"/>
  <c r="L116" i="7"/>
  <c r="L115" i="7"/>
  <c r="L114" i="7"/>
  <c r="L108" i="7"/>
  <c r="L107" i="7"/>
  <c r="L106" i="7"/>
  <c r="L105" i="7"/>
  <c r="L98" i="7"/>
  <c r="L97" i="7"/>
  <c r="L96" i="7"/>
  <c r="L90" i="7"/>
  <c r="L89" i="7"/>
  <c r="L88" i="7"/>
  <c r="L82" i="7"/>
  <c r="L81" i="7"/>
  <c r="L80" i="7"/>
  <c r="L74" i="7"/>
  <c r="L73" i="7"/>
  <c r="L72" i="7"/>
  <c r="L65" i="7"/>
  <c r="L64" i="7"/>
  <c r="L63" i="7"/>
  <c r="L62" i="7"/>
  <c r="L61" i="7"/>
  <c r="L54" i="7"/>
  <c r="L53" i="7"/>
  <c r="L52" i="7"/>
  <c r="L51" i="7"/>
  <c r="L44" i="7"/>
  <c r="L43" i="7"/>
  <c r="L42" i="7"/>
  <c r="L41" i="7"/>
  <c r="L30" i="7"/>
  <c r="L29" i="7"/>
  <c r="L32" i="7"/>
  <c r="L31" i="7"/>
  <c r="L33" i="7"/>
  <c r="L34" i="7"/>
  <c r="L132" i="14" l="1"/>
  <c r="L75" i="16"/>
  <c r="L83" i="16"/>
  <c r="L109" i="16"/>
  <c r="L100" i="13"/>
  <c r="L46" i="14"/>
  <c r="L83" i="13"/>
  <c r="L127" i="16"/>
  <c r="L100" i="16"/>
  <c r="L91" i="16"/>
  <c r="L46" i="16"/>
  <c r="L36" i="16"/>
  <c r="L67" i="16"/>
  <c r="L56" i="16"/>
  <c r="L118" i="16"/>
  <c r="L46" i="15"/>
  <c r="L75" i="15"/>
  <c r="L91" i="15"/>
  <c r="L83" i="15"/>
  <c r="L100" i="15"/>
  <c r="L36" i="15"/>
  <c r="L109" i="15"/>
  <c r="L67" i="15"/>
  <c r="L127" i="15"/>
  <c r="L56" i="15"/>
  <c r="L118" i="15"/>
  <c r="L91" i="14"/>
  <c r="L75" i="14"/>
  <c r="L109" i="14"/>
  <c r="L127" i="14"/>
  <c r="L100" i="14"/>
  <c r="L67" i="14"/>
  <c r="L83" i="14"/>
  <c r="L36" i="14"/>
  <c r="L56" i="14"/>
  <c r="L118" i="14"/>
  <c r="L67" i="13"/>
  <c r="L46" i="13"/>
  <c r="L56" i="13"/>
  <c r="L118" i="13"/>
  <c r="L36" i="13"/>
  <c r="L75" i="13"/>
  <c r="L109" i="13"/>
  <c r="L91" i="13"/>
  <c r="L127" i="13"/>
  <c r="M36" i="7"/>
  <c r="L132" i="15" l="1"/>
  <c r="L132" i="16" s="1"/>
  <c r="H11" i="1"/>
  <c r="C132" i="1" l="1"/>
  <c r="G132" i="1" s="1"/>
  <c r="G66" i="1" l="1"/>
  <c r="G67" i="1"/>
  <c r="G68" i="1"/>
  <c r="G65" i="1"/>
  <c r="G64" i="1"/>
  <c r="G114" i="1"/>
  <c r="G83" i="1"/>
  <c r="G63" i="1"/>
  <c r="G47" i="1"/>
  <c r="G48" i="1"/>
  <c r="G49" i="1"/>
  <c r="G38" i="1"/>
  <c r="G39" i="1"/>
  <c r="G40" i="1"/>
  <c r="G41" i="1"/>
  <c r="G42" i="1"/>
  <c r="G37" i="1"/>
  <c r="C84" i="4"/>
  <c r="C83" i="4"/>
  <c r="C82" i="4"/>
  <c r="C81" i="4"/>
  <c r="C80" i="4"/>
  <c r="C79" i="4"/>
  <c r="C78" i="4"/>
  <c r="C68" i="4"/>
  <c r="C67" i="4"/>
  <c r="C66" i="4"/>
  <c r="C65" i="4"/>
  <c r="C63" i="4"/>
  <c r="C62" i="4"/>
  <c r="C59" i="4"/>
  <c r="C61" i="4"/>
  <c r="C60" i="4"/>
  <c r="C38" i="4"/>
  <c r="C37" i="4"/>
  <c r="C36" i="4"/>
  <c r="C35" i="4"/>
  <c r="C34" i="4"/>
  <c r="C33" i="4"/>
  <c r="C32" i="4"/>
  <c r="C31" i="4"/>
  <c r="C14" i="4"/>
  <c r="C13" i="4"/>
  <c r="C12" i="4"/>
  <c r="C9" i="4"/>
  <c r="K3" i="13" l="1"/>
  <c r="K3" i="16"/>
  <c r="K3" i="14"/>
  <c r="K3" i="15"/>
  <c r="H69" i="1"/>
  <c r="H50" i="1"/>
  <c r="L6" i="7" l="1"/>
  <c r="G6" i="7"/>
  <c r="G4" i="7"/>
  <c r="F3" i="15" l="1"/>
  <c r="F3" i="13"/>
  <c r="F3" i="16"/>
  <c r="F3" i="14"/>
  <c r="L3" i="7"/>
  <c r="G3" i="7"/>
  <c r="E18" i="4"/>
  <c r="M56" i="7" l="1"/>
  <c r="M75" i="7"/>
  <c r="M67" i="7"/>
  <c r="M46" i="7"/>
  <c r="M83" i="7"/>
  <c r="M100" i="7"/>
  <c r="M118" i="7"/>
  <c r="M91" i="7"/>
  <c r="M109" i="7"/>
  <c r="M127" i="7"/>
  <c r="E9" i="4" l="1"/>
  <c r="E12" i="4"/>
  <c r="E13" i="4"/>
  <c r="E14" i="4"/>
  <c r="G118" i="1" l="1"/>
  <c r="G85" i="1" l="1"/>
  <c r="G84" i="1"/>
  <c r="F59" i="4" l="1"/>
  <c r="E61" i="4" l="1"/>
  <c r="F61" i="4" s="1"/>
  <c r="E60" i="4"/>
  <c r="F60" i="4" l="1"/>
  <c r="E62" i="4"/>
  <c r="F62" i="4" s="1"/>
  <c r="E63" i="4"/>
  <c r="F63" i="4" s="1"/>
  <c r="G91" i="1"/>
  <c r="G90" i="1"/>
  <c r="G89" i="1"/>
  <c r="G119" i="1" l="1"/>
  <c r="H120" i="1" s="1"/>
  <c r="C77" i="4" l="1"/>
  <c r="F77" i="4" s="1"/>
  <c r="C64" i="4"/>
  <c r="F64" i="4" s="1"/>
  <c r="F82" i="4"/>
  <c r="F81" i="4"/>
  <c r="F80" i="4"/>
  <c r="F68" i="4"/>
  <c r="F67" i="4"/>
  <c r="F66" i="4"/>
  <c r="F65" i="4"/>
  <c r="F84" i="4"/>
  <c r="F83" i="4"/>
  <c r="F79" i="4"/>
  <c r="F78" i="4"/>
  <c r="C30" i="4"/>
  <c r="C29" i="4"/>
  <c r="C28" i="4"/>
  <c r="C27" i="4"/>
  <c r="C26" i="4"/>
  <c r="C25" i="4"/>
  <c r="C24" i="4"/>
  <c r="C23" i="4"/>
  <c r="C22" i="4"/>
  <c r="C21" i="4"/>
  <c r="F26" i="4" l="1"/>
  <c r="C11" i="4"/>
  <c r="E11" i="4" s="1"/>
  <c r="C10" i="4"/>
  <c r="E10" i="4" s="1"/>
  <c r="F87" i="4"/>
  <c r="F86" i="4"/>
  <c r="E87" i="4"/>
  <c r="E86" i="4"/>
  <c r="F27" i="4"/>
  <c r="F28" i="4"/>
  <c r="F29" i="4"/>
  <c r="F30" i="4"/>
  <c r="F37" i="4"/>
  <c r="F38" i="4"/>
  <c r="F32" i="4"/>
  <c r="F33" i="4"/>
  <c r="F34" i="4"/>
  <c r="F35" i="4"/>
  <c r="F36" i="4"/>
  <c r="F31" i="4"/>
  <c r="F22" i="4"/>
  <c r="F23" i="4"/>
  <c r="F24" i="4"/>
  <c r="F25" i="4"/>
  <c r="G7" i="1" l="1"/>
  <c r="H43" i="1"/>
  <c r="F21" i="4"/>
  <c r="F5" i="15" l="1"/>
  <c r="F5" i="13"/>
  <c r="F5" i="16"/>
  <c r="G5" i="7"/>
  <c r="F5" i="14"/>
  <c r="K4" i="16"/>
  <c r="K4" i="14"/>
  <c r="K4" i="13"/>
  <c r="K4" i="15"/>
  <c r="L4" i="7"/>
  <c r="G11" i="1"/>
  <c r="F134" i="3" l="1"/>
  <c r="F133" i="3"/>
  <c r="F132" i="3"/>
  <c r="F127" i="3"/>
  <c r="F126" i="3"/>
  <c r="F125" i="3"/>
  <c r="F121" i="3"/>
  <c r="F120" i="3"/>
  <c r="F119" i="3"/>
  <c r="F115" i="3"/>
  <c r="F114" i="3"/>
  <c r="F113" i="3"/>
  <c r="F109" i="3"/>
  <c r="F108" i="3"/>
  <c r="F107" i="3"/>
  <c r="F106" i="3"/>
  <c r="F105" i="3"/>
  <c r="F101" i="3"/>
  <c r="F100" i="3"/>
  <c r="F99" i="3"/>
  <c r="F98" i="3"/>
  <c r="F97" i="3"/>
  <c r="F93" i="3"/>
  <c r="F92" i="3"/>
  <c r="F87" i="3"/>
  <c r="F86" i="3"/>
  <c r="F85" i="3"/>
  <c r="F81" i="3"/>
  <c r="F80" i="3"/>
  <c r="F79" i="3"/>
  <c r="F74" i="3"/>
  <c r="F73" i="3"/>
  <c r="F72" i="3"/>
  <c r="F68" i="3"/>
  <c r="F67" i="3"/>
  <c r="F62" i="3"/>
  <c r="F61" i="3"/>
  <c r="F60" i="3"/>
  <c r="F59" i="3"/>
  <c r="F58" i="3"/>
  <c r="F57" i="3"/>
  <c r="F56" i="3"/>
  <c r="F51" i="3"/>
  <c r="F50" i="3"/>
  <c r="F49" i="3"/>
  <c r="F45" i="3"/>
  <c r="F44" i="3"/>
  <c r="F43" i="3"/>
  <c r="F42" i="3"/>
  <c r="F41" i="3"/>
  <c r="F40" i="3"/>
  <c r="F39" i="3"/>
  <c r="F38" i="3"/>
  <c r="F37" i="3"/>
  <c r="F36" i="3"/>
  <c r="F35" i="3"/>
  <c r="F34" i="3"/>
  <c r="F33" i="3"/>
  <c r="F32" i="3"/>
  <c r="F31" i="3"/>
  <c r="F27" i="3"/>
  <c r="F26" i="3"/>
  <c r="F25" i="3"/>
  <c r="F24" i="3"/>
  <c r="F23" i="3"/>
  <c r="F22" i="3"/>
  <c r="F21" i="3"/>
  <c r="F20" i="3"/>
  <c r="F19" i="3"/>
  <c r="F18" i="3"/>
  <c r="F17" i="3"/>
  <c r="F16" i="3"/>
  <c r="F12" i="3"/>
  <c r="F11" i="3"/>
  <c r="F6" i="3"/>
  <c r="F5" i="3"/>
  <c r="F4" i="3"/>
  <c r="G125" i="1"/>
  <c r="G102" i="1"/>
  <c r="G95" i="1"/>
  <c r="G8" i="3" l="1"/>
  <c r="G82" i="3"/>
  <c r="G13" i="3"/>
  <c r="G94" i="3"/>
  <c r="G53" i="3"/>
  <c r="G69" i="3"/>
  <c r="G89" i="3"/>
  <c r="G110" i="3"/>
  <c r="G122" i="3"/>
  <c r="G102" i="3"/>
  <c r="G46" i="3"/>
  <c r="G129" i="3"/>
  <c r="M94" i="7"/>
  <c r="M101" i="7" s="1"/>
  <c r="G116" i="3"/>
  <c r="G135" i="3"/>
  <c r="G64" i="3"/>
  <c r="G28" i="3"/>
  <c r="G76" i="3"/>
  <c r="M27" i="7"/>
  <c r="M37" i="7" s="1"/>
  <c r="H13" i="1"/>
  <c r="H99" i="1"/>
  <c r="H92" i="1"/>
  <c r="H106" i="1"/>
  <c r="M49" i="7"/>
  <c r="M57" i="7" s="1"/>
  <c r="G123" i="1" l="1"/>
  <c r="F80" i="1"/>
  <c r="E80" i="1"/>
  <c r="D80" i="1"/>
  <c r="D124" i="1"/>
  <c r="G80" i="1"/>
  <c r="C17" i="7"/>
  <c r="M15" i="7"/>
  <c r="F124" i="1"/>
  <c r="E124" i="1"/>
  <c r="G136" i="3"/>
  <c r="H16" i="1" s="1"/>
  <c r="H18" i="1" s="1"/>
  <c r="H135" i="1" s="1"/>
  <c r="H129" i="1" s="1"/>
  <c r="M18" i="7"/>
  <c r="L18" i="15"/>
  <c r="L18" i="16"/>
  <c r="L94" i="13"/>
  <c r="L27" i="13"/>
  <c r="L49" i="13"/>
  <c r="H89" i="1"/>
  <c r="M70" i="7"/>
  <c r="M76" i="7" s="1"/>
  <c r="H95" i="1"/>
  <c r="M78" i="7"/>
  <c r="M84" i="7" s="1"/>
  <c r="H102" i="1"/>
  <c r="M86" i="7"/>
  <c r="M92" i="7" s="1"/>
  <c r="H46" i="1"/>
  <c r="M39" i="7"/>
  <c r="M47" i="7" s="1"/>
  <c r="H86" i="1" l="1"/>
  <c r="H72" i="1" s="1"/>
  <c r="G139" i="1"/>
  <c r="G138" i="1"/>
  <c r="G124" i="1"/>
  <c r="H126" i="1" s="1"/>
  <c r="M103" i="7" s="1"/>
  <c r="L57" i="13"/>
  <c r="L49" i="14" s="1"/>
  <c r="L37" i="13"/>
  <c r="L27" i="14" s="1"/>
  <c r="L101" i="13"/>
  <c r="L94" i="14" s="1"/>
  <c r="H138" i="1"/>
  <c r="C23" i="7"/>
  <c r="M24" i="7" s="1"/>
  <c r="M19" i="7"/>
  <c r="B17" i="13" s="1"/>
  <c r="L18" i="13" s="1"/>
  <c r="M112" i="7"/>
  <c r="L24" i="15"/>
  <c r="L130" i="15" s="1"/>
  <c r="M21" i="7"/>
  <c r="L24" i="14"/>
  <c r="L24" i="16"/>
  <c r="L39" i="13"/>
  <c r="L70" i="13"/>
  <c r="L78" i="13"/>
  <c r="L86" i="13"/>
  <c r="M59" i="7" l="1"/>
  <c r="M68" i="7" s="1"/>
  <c r="L59" i="13" s="1"/>
  <c r="L68" i="13" s="1"/>
  <c r="L59" i="14" s="1"/>
  <c r="M25" i="7"/>
  <c r="B23" i="13" s="1"/>
  <c r="L24" i="13" s="1"/>
  <c r="L130" i="13" s="1"/>
  <c r="M110" i="7"/>
  <c r="L103" i="13" s="1"/>
  <c r="L110" i="13" s="1"/>
  <c r="L103" i="14" s="1"/>
  <c r="L130" i="16"/>
  <c r="M130" i="7"/>
  <c r="L101" i="14"/>
  <c r="L94" i="15" s="1"/>
  <c r="L101" i="15" s="1"/>
  <c r="L94" i="16" s="1"/>
  <c r="L101" i="16" s="1"/>
  <c r="L37" i="14"/>
  <c r="L27" i="15" s="1"/>
  <c r="L37" i="15" s="1"/>
  <c r="L27" i="16" s="1"/>
  <c r="L37" i="16" s="1"/>
  <c r="L57" i="14"/>
  <c r="L49" i="15" s="1"/>
  <c r="L57" i="15" s="1"/>
  <c r="L49" i="16" s="1"/>
  <c r="L57" i="16" s="1"/>
  <c r="L92" i="13"/>
  <c r="L86" i="14" s="1"/>
  <c r="L76" i="13"/>
  <c r="L70" i="14" s="1"/>
  <c r="L47" i="13"/>
  <c r="L39" i="14" s="1"/>
  <c r="L84" i="13"/>
  <c r="L78" i="14" s="1"/>
  <c r="M119" i="7"/>
  <c r="L112" i="13" s="1"/>
  <c r="L15" i="13"/>
  <c r="H142" i="1"/>
  <c r="M121" i="7" s="1"/>
  <c r="M129" i="7" l="1"/>
  <c r="M131" i="7" s="1"/>
  <c r="F7" i="13" s="1"/>
  <c r="L21" i="13"/>
  <c r="L25" i="13" s="1"/>
  <c r="L76" i="14"/>
  <c r="L70" i="15" s="1"/>
  <c r="L76" i="15" s="1"/>
  <c r="L70" i="16" s="1"/>
  <c r="L76" i="16" s="1"/>
  <c r="L92" i="14"/>
  <c r="L86" i="15" s="1"/>
  <c r="L92" i="15" s="1"/>
  <c r="L86" i="16" s="1"/>
  <c r="L92" i="16" s="1"/>
  <c r="L68" i="14"/>
  <c r="L59" i="15" s="1"/>
  <c r="L68" i="15" s="1"/>
  <c r="L59" i="16" s="1"/>
  <c r="L68" i="16" s="1"/>
  <c r="L47" i="14"/>
  <c r="L39" i="15" s="1"/>
  <c r="L47" i="15" s="1"/>
  <c r="L39" i="16" s="1"/>
  <c r="L47" i="16" s="1"/>
  <c r="L84" i="14"/>
  <c r="L78" i="15" s="1"/>
  <c r="L84" i="15" s="1"/>
  <c r="L78" i="16" s="1"/>
  <c r="L84" i="16" s="1"/>
  <c r="L110" i="14"/>
  <c r="L103" i="15" s="1"/>
  <c r="L110" i="15" s="1"/>
  <c r="L103" i="16" s="1"/>
  <c r="L110" i="16" s="1"/>
  <c r="L119" i="13"/>
  <c r="L112" i="14" s="1"/>
  <c r="M128" i="7"/>
  <c r="L121" i="13" s="1"/>
  <c r="L19" i="13"/>
  <c r="H144" i="1"/>
  <c r="G7" i="7" s="1"/>
  <c r="L129" i="13" l="1"/>
  <c r="L131" i="13" s="1"/>
  <c r="F7" i="14" s="1"/>
  <c r="L119" i="14"/>
  <c r="L112" i="15" s="1"/>
  <c r="L119" i="15" s="1"/>
  <c r="L112" i="16" s="1"/>
  <c r="L119" i="16" s="1"/>
  <c r="B23" i="14"/>
  <c r="L21" i="14"/>
  <c r="L25" i="14" s="1"/>
  <c r="B17" i="14"/>
  <c r="L18" i="14" s="1"/>
  <c r="L130" i="14" s="1"/>
  <c r="L15" i="14"/>
  <c r="L128" i="13"/>
  <c r="L121" i="14" s="1"/>
  <c r="H146" i="1"/>
  <c r="L129" i="14" l="1"/>
  <c r="L131" i="14" s="1"/>
  <c r="F7" i="15" s="1"/>
  <c r="L128" i="14"/>
  <c r="L121" i="15" s="1"/>
  <c r="L128" i="15" s="1"/>
  <c r="L121" i="16" s="1"/>
  <c r="L128" i="16" s="1"/>
  <c r="B23" i="15"/>
  <c r="L21" i="15"/>
  <c r="L25" i="15" s="1"/>
  <c r="L19" i="14"/>
  <c r="L21" i="16" l="1"/>
  <c r="L25" i="16" s="1"/>
  <c r="B23" i="16"/>
  <c r="B17" i="15"/>
  <c r="L15" i="15"/>
  <c r="L129" i="15" s="1"/>
  <c r="L131" i="15" s="1"/>
  <c r="F7" i="16" s="1"/>
  <c r="L19" i="15" l="1"/>
  <c r="B17" i="16" l="1"/>
  <c r="L15" i="16"/>
  <c r="L19" i="16" s="1"/>
  <c r="L129" i="16" l="1"/>
  <c r="L131" i="1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tc={FD8B345C-1192-44A9-B174-382B4FA4D9BE}</author>
    <author>tc={CD8EEDCD-1CDC-4454-8AE3-2667D696DC3F}</author>
    <author>tc={17879EA7-78F6-4E21-9280-04F64EC631DB}</author>
    <author>tc={2397EB6A-FDB5-493C-A85D-75C2C123FE00}</author>
    <author>tc={660CBAC4-9510-4233-8BA7-2918A73AA550}</author>
    <author>tc={9FA56C28-D90B-442C-BE27-16C49B2D68C0}</author>
    <author>tc={38BB4074-C2E1-42BB-82DE-E53A1264826A}</author>
    <author>tc={9B3D590A-C3F3-4D49-9CD0-540DB5CB33AC}</author>
    <author>tc={54F647B5-CD6D-4E7D-873A-76031E15389B}</author>
    <author>tc={E54C2EE9-9F76-4316-86FD-15FBA316A06E}</author>
    <author>tc={6881CC95-4C62-4BAB-9270-AC4E64494B3D}</author>
    <author>tc={94775942-6C18-4A9B-B4A0-9235EA08BBE9}</author>
    <author>tc={5E02AF92-6173-496B-BD1C-946A020301E1}</author>
    <author>tc={8518DA76-97EE-4107-B8A8-DBD1A91E79BF}</author>
    <author>tc={13083460-00B9-48A0-8478-A9BF1713A77E}</author>
    <author>tc={2D74F5C6-FAEB-443B-9C33-0DB6478316F3}</author>
    <author>tc={68469FDB-F296-4BFC-9A7B-190669D60515}</author>
    <author>tc={FA43580B-F0D9-4B26-B4BD-0991FC342A8A}</author>
    <author>tc={F5F226C9-4C96-490C-B2C9-8CF6FFBB1CDE}</author>
    <author>tc={CD9E1290-899D-4334-8009-EF06B5D97313}</author>
    <author>tc={EF8167A6-CA40-45FE-B6F0-ABEF56F6A9B4}</author>
    <author>tc={D3307688-D22C-4468-9C70-748E9AB9805D}</author>
    <author>tc={150ED3C9-6EFB-42A7-8AD0-6BCCCBABB498}</author>
    <author>tc={2E0D6AD0-7A7E-48A5-BD2A-8B6D5AAF0045}</author>
    <author>tc={3580D03C-39E5-4114-AF5F-FCA8B171748E}</author>
    <author>tc={66455AF0-1C18-41BF-98B2-5E3D19ACCF7F}</author>
    <author>tc={677042EE-4DFA-4E2B-88C8-66E14854D4CA}</author>
    <author>tc={38D29BEA-F60C-4C00-8BBE-A3794D178C2C}</author>
    <author>tc={AE487842-3A6D-4B39-8B92-393CD70D4179}</author>
    <author>tc={B7924456-F971-4B51-810B-947E799F8FE6}</author>
    <author>tc={EE629F20-27AA-458A-B737-637E11ED7866}</author>
    <author>tc={7F47A4A9-3842-4B46-8A5D-3ED1B0E8F4B2}</author>
    <author>tc={EB84BFF7-7228-4708-96EB-FE7350F035E1}</author>
    <author>tc={B730A98F-DDC4-4D9F-B70B-4D8D8DCF7AA5}</author>
    <author>tc={6754B84E-825B-4418-818E-E806718065B8}</author>
    <author>tc={29F153B3-3792-4E82-9787-39A67BD23EB9}</author>
    <author>tc={BD6D3D08-BB54-49C1-9AAC-FED5D3F918CB}</author>
    <author>tc={013C95C6-0498-43FC-80AE-7E4F41426AFA}</author>
    <author>tc={94F749A8-977C-4B99-9FFB-FF7A5AE76FB7}</author>
  </authors>
  <commentList>
    <comment ref="A1" authorId="0" shapeId="0" xr:uid="{FD8B345C-1192-44A9-B174-382B4FA4D9BE}">
      <text>
        <t>[Threaded comment]
Your version of Excel allows you to read this threaded comment; however, any edits to it will get removed if the file is opened in a newer version of Excel. Learn more: https://go.microsoft.com/fwlink/?linkid=870924
Comment:
    used to autocomplete comp price, vendor soft costs</t>
      </text>
    </comment>
    <comment ref="AA1" authorId="1" shapeId="0" xr:uid="{CD8EEDCD-1CDC-4454-8AE3-2667D696DC3F}">
      <text>
        <t>[Threaded comment]
Your version of Excel allows you to read this threaded comment; however, any edits to it will get removed if the file is opened in a newer version of Excel. Learn more: https://go.microsoft.com/fwlink/?linkid=870924
Comment:
    autocompletes based on county and vendor/zone/inspection costs table</t>
      </text>
    </comment>
    <comment ref="A2" authorId="2" shapeId="0" xr:uid="{17879EA7-78F6-4E21-9280-04F64EC631DB}">
      <text>
        <t>[Threaded comment]
Your version of Excel allows you to read this threaded comment; however, any edits to it will get removed if the file is opened in a newer version of Excel. Learn more: https://go.microsoft.com/fwlink/?linkid=870924
Comment:
    used for dropdown (homeowner county)</t>
      </text>
    </comment>
    <comment ref="J2" authorId="3" shapeId="0" xr:uid="{2397EB6A-FDB5-493C-A85D-75C2C123FE00}">
      <text>
        <t>[Threaded comment]
Your version of Excel allows you to read this threaded comment; however, any edits to it will get removed if the file is opened in a newer version of Excel. Learn more: https://go.microsoft.com/fwlink/?linkid=870924
Comment:
    used to autocomplete builder contract #</t>
      </text>
    </comment>
    <comment ref="R2" authorId="4" shapeId="0" xr:uid="{660CBAC4-9510-4233-8BA7-2918A73AA550}">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M3" authorId="5" shapeId="0" xr:uid="{9FA56C28-D90B-442C-BE27-16C49B2D68C0}">
      <text>
        <t>[Threaded comment]
Your version of Excel allows you to read this threaded comment; however, any edits to it will get removed if the file is opened in a newer version of Excel. Learn more: https://go.microsoft.com/fwlink/?linkid=870924
Comment:
    used in vlookup formula to pull builder contract # from county</t>
      </text>
    </comment>
    <comment ref="J36" authorId="6" shapeId="0" xr:uid="{38BB4074-C2E1-42BB-82DE-E53A1264826A}">
      <text>
        <t>[Threaded comment]
Your version of Excel allows you to read this threaded comment; however, any edits to it will get removed if the file is opened in a newer version of Excel. Learn more: https://go.microsoft.com/fwlink/?linkid=870924
Comment:
    used to autocomplete builder contract #</t>
      </text>
    </comment>
    <comment ref="M37" authorId="7" shapeId="0" xr:uid="{9B3D590A-C3F3-4D49-9CD0-540DB5CB33AC}">
      <text>
        <t>[Threaded comment]
Your version of Excel allows you to read this threaded comment; however, any edits to it will get removed if the file is opened in a newer version of Excel. Learn more: https://go.microsoft.com/fwlink/?linkid=870924
Comment:
    used in vlookup formula to pull builder contract # from county</t>
      </text>
    </comment>
    <comment ref="R47" authorId="8" shapeId="0" xr:uid="{54F647B5-CD6D-4E7D-873A-76031E15389B}">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J61" authorId="9" shapeId="0" xr:uid="{E54C2EE9-9F76-4316-86FD-15FBA316A06E}">
      <text>
        <t>[Threaded comment]
Your version of Excel allows you to read this threaded comment; however, any edits to it will get removed if the file is opened in a newer version of Excel. Learn more: https://go.microsoft.com/fwlink/?linkid=870924
Comment:
    used to autocomplete builder contract #</t>
      </text>
    </comment>
    <comment ref="M62" authorId="10" shapeId="0" xr:uid="{6881CC95-4C62-4BAB-9270-AC4E64494B3D}">
      <text>
        <t>[Threaded comment]
Your version of Excel allows you to read this threaded comment; however, any edits to it will get removed if the file is opened in a newer version of Excel. Learn more: https://go.microsoft.com/fwlink/?linkid=870924
Comment:
    used in vlookup formula to pull builder contract # from county</t>
      </text>
    </comment>
    <comment ref="R64" authorId="11" shapeId="0" xr:uid="{94775942-6C18-4A9B-B4A0-9235EA08BBE9}">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A65" authorId="12" shapeId="0" xr:uid="{5E02AF92-6173-496B-BD1C-946A020301E1}">
      <text>
        <t>[Threaded comment]
Your version of Excel allows you to read this threaded comment; however, any edits to it will get removed if the file is opened in a newer version of Excel. Learn more: https://go.microsoft.com/fwlink/?linkid=870924
Comment:
    used for dropdown (homeowner county)</t>
      </text>
    </comment>
    <comment ref="J81" authorId="13" shapeId="0" xr:uid="{8518DA76-97EE-4107-B8A8-DBD1A91E79BF}">
      <text>
        <t>[Threaded comment]
Your version of Excel allows you to read this threaded comment; however, any edits to it will get removed if the file is opened in a newer version of Excel. Learn more: https://go.microsoft.com/fwlink/?linkid=870924
Comment:
    used to autocomplete builder contract #</t>
      </text>
    </comment>
    <comment ref="M82" authorId="14" shapeId="0" xr:uid="{13083460-00B9-48A0-8478-A9BF1713A77E}">
      <text>
        <t>[Threaded comment]
Your version of Excel allows you to read this threaded comment; however, any edits to it will get removed if the file is opened in a newer version of Excel. Learn more: https://go.microsoft.com/fwlink/?linkid=870924
Comment:
    used in vlookup formula to pull builder contract # from county</t>
      </text>
    </comment>
    <comment ref="R87" authorId="15" shapeId="0" xr:uid="{2D74F5C6-FAEB-443B-9C33-0DB6478316F3}">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146" authorId="16" shapeId="0" xr:uid="{68469FDB-F296-4BFC-9A7B-190669D60515}">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169" authorId="17" shapeId="0" xr:uid="{FA43580B-F0D9-4B26-B4BD-0991FC342A8A}">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192" authorId="18" shapeId="0" xr:uid="{F5F226C9-4C96-490C-B2C9-8CF6FFBB1CDE}">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235" authorId="19" shapeId="0" xr:uid="{CD9E1290-899D-4334-8009-EF06B5D97313}">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278" authorId="20" shapeId="0" xr:uid="{EF8167A6-CA40-45FE-B6F0-ABEF56F6A9B4}">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321" authorId="21" shapeId="0" xr:uid="{D3307688-D22C-4468-9C70-748E9AB9805D}">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364" authorId="22" shapeId="0" xr:uid="{150ED3C9-6EFB-42A7-8AD0-6BCCCBABB498}">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407" authorId="23" shapeId="0" xr:uid="{2E0D6AD0-7A7E-48A5-BD2A-8B6D5AAF0045}">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450" authorId="24" shapeId="0" xr:uid="{3580D03C-39E5-4114-AF5F-FCA8B171748E}">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493" authorId="25" shapeId="0" xr:uid="{66455AF0-1C18-41BF-98B2-5E3D19ACCF7F}">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536" authorId="26" shapeId="0" xr:uid="{677042EE-4DFA-4E2B-88C8-66E14854D4CA}">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579" authorId="27" shapeId="0" xr:uid="{38D29BEA-F60C-4C00-8BBE-A3794D178C2C}">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622" authorId="28" shapeId="0" xr:uid="{AE487842-3A6D-4B39-8B92-393CD70D4179}">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665" authorId="29" shapeId="0" xr:uid="{B7924456-F971-4B51-810B-947E799F8FE6}">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708" authorId="30" shapeId="0" xr:uid="{EE629F20-27AA-458A-B737-637E11ED7866}">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751" authorId="31" shapeId="0" xr:uid="{7F47A4A9-3842-4B46-8A5D-3ED1B0E8F4B2}">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794" authorId="32" shapeId="0" xr:uid="{EB84BFF7-7228-4708-96EB-FE7350F035E1}">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845" authorId="33" shapeId="0" xr:uid="{B730A98F-DDC4-4D9F-B70B-4D8D8DCF7AA5}">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904" authorId="34" shapeId="0" xr:uid="{6754B84E-825B-4418-818E-E806718065B8}">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946" authorId="35" shapeId="0" xr:uid="{29F153B3-3792-4E82-9787-39A67BD23EB9}">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989" authorId="36" shapeId="0" xr:uid="{BD6D3D08-BB54-49C1-9AAC-FED5D3F918CB}">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1033" authorId="37" shapeId="0" xr:uid="{013C95C6-0498-43FC-80AE-7E4F41426AFA}">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
Reply:
    Used to autocomplete updated comp price and gutter cost requested 4/6/2021 - Stephen McDonald
Reply:
    Used to update comp price per JR request on 4/19/2021 - Stephen McDonald</t>
      </text>
    </comment>
    <comment ref="R1108" authorId="38" shapeId="0" xr:uid="{94F749A8-977C-4B99-9FFB-FF7A5AE76FB7}">
      <text>
        <t>[Threaded comment]
Your version of Excel allows you to read this threaded comment; however, any edits to it will get removed if the file is opened in a newer version of Excel. Learn more: https://go.microsoft.com/fwlink/?linkid=870924
Comment:
    used for drop down list, used to autocomplete comp price and hazard&amp;mit gutter cost</t>
      </text>
    </comment>
  </commentList>
</comments>
</file>

<file path=xl/sharedStrings.xml><?xml version="1.0" encoding="utf-8"?>
<sst xmlns="http://schemas.openxmlformats.org/spreadsheetml/2006/main" count="4771" uniqueCount="1092">
  <si>
    <t>How to Use New 11.17 and CO Forms</t>
  </si>
  <si>
    <t>11.17 - Basic Instructions</t>
  </si>
  <si>
    <t>Grey cells do not need to be filled in. They will autocomplete or are not required.</t>
  </si>
  <si>
    <t>The homeowner county must be selected. For recon projects, the house plan must also be selected if appropriate. Autocompletion of other cells in the form depend on these selections (e.g. vendor soft costs, hazard mitigation and resiliency gutter costs). Homeowner county and Program must be selected before building contractor can be selected.</t>
  </si>
  <si>
    <t>Sections will be "collapsed" when the form is opened. To expand a section, click the plus sign to the left of that section. Plus signs are also used within sections to collapse extra rows that can be used if there is not enough room to list all items. Sections with costs listed must be expanded.</t>
  </si>
  <si>
    <t>The form will indicate when drop down lists should be used. Drop down lists are used to select frequently listed items and size ranges in column B.</t>
  </si>
  <si>
    <t>Messages will pop up in column H of the 11.17 form costs exceed caps or limitations apply to selected items.</t>
  </si>
  <si>
    <t>Verification should be described for each item as appropriate in the item's description field.</t>
  </si>
  <si>
    <t>CO Instructions</t>
  </si>
  <si>
    <t>Grey cells will automatically populate and are not required to be filled in.</t>
  </si>
  <si>
    <t>Explain the reason for the change order in the "Comments" field.</t>
  </si>
  <si>
    <t>If the CO is a Time Delay CO, you only need to complete rows under "Construction Contract Change in Days" and the signature section.</t>
  </si>
  <si>
    <t>Sections will be "collapsed" when the form is opened. To expand a section, click the plus sign to the left of that section.</t>
  </si>
  <si>
    <t>Project information, original category sub-totals, and the original item costs for composite price and rehabilitation costs will automatically pull from the 11.17 form or most recent CO.</t>
  </si>
  <si>
    <t>Only new items or items for which the cost has changed need to be listed in the CO.</t>
  </si>
  <si>
    <t>Refer to the original 11.17 form or most recent CO for item costs and descriptions.</t>
  </si>
  <si>
    <t>11.17 - Detailed Instructions by Section</t>
  </si>
  <si>
    <t>Project Information</t>
  </si>
  <si>
    <t>Complete project information at the top of the 11.17 form. Homeowner County, Program, and Building Contractor Name must be selected from the drop down list provided. Grey cells will automtically populate and do not need to be filled in.</t>
  </si>
  <si>
    <t>General Construction</t>
  </si>
  <si>
    <t>Recon/New Construction projects: Select the preapproved house plan and house plan option from the drop down list in row 10 ("Composite Price"). Grey cells will automtically populate and do not need to be filled in. If alterations have been made to the preapproved plan or a different plan is being used, complete row 11 ("Nonstandard Price").</t>
  </si>
  <si>
    <t>Rehab projects: Complete the "Rehab estimate" tab, which will automatically populate the rehabilitation cost in the 11.17 form. If an Xactimate was used, complete row 16 under Summary of Rehabilitation Costs.</t>
  </si>
  <si>
    <t>Site Specific/Site Prep</t>
  </si>
  <si>
    <t>If total project costs include site specific/site prep items, click the plus sign to the left of the "Site Specific/Site Prep" section in row 18. This will expand the section.</t>
  </si>
  <si>
    <t>Select an item from the drop down list in column B ("Description"). Enter a brief description of the specific item and a description of any documentation/verification provided for that item in column C ("Details &amp; Verification").</t>
  </si>
  <si>
    <t>2a</t>
  </si>
  <si>
    <t>For fill dirt, caliche or crush concrete, or flat work, you will need to select the appropriate range from the drop down list in column B. This will autocomplete the total cost of the item.</t>
  </si>
  <si>
    <t>2b</t>
  </si>
  <si>
    <t>For tree removal or concrete culvert, you will need to select the appropriate size from the drop down list in column B. Then enter the number of trees or LF of culvert in column D ("Total SF, LF, CY, or Number of Items").</t>
  </si>
  <si>
    <t>2d</t>
  </si>
  <si>
    <t>For stairs: Stairs are an allowable cost for homes elevated over 3'. Select the appropriate item in column B and enter the number of units in column D ("Total SF, LF, CY, VF, or Number of Items"). Only the VF of elevation above 3' should be included in column D. 
E.g.: Home elevated 6', enter 3 in column D on the 11.17. Total cost of item is $300.</t>
  </si>
  <si>
    <t>2c</t>
  </si>
  <si>
    <t>For all other items, select the appropriate item in column B and enter the number of units in column D ("Total SF, LF, CY, VF, or Number of Items").</t>
  </si>
  <si>
    <t>2e</t>
  </si>
  <si>
    <t>Grey cells will automtically populate and/or do not need to be filled in.</t>
  </si>
  <si>
    <t>If the item that needs to be listed is not available in the drop down list in Column B, complete the "Other Site Prep" rows (starting at row 36).</t>
  </si>
  <si>
    <t>If additional rows are needed: Click the plus sign to the left of row 27 to add site prep rows with drop down lists. Click the plus sign to the left of row 38 to add "Other Site Prep" rows.</t>
  </si>
  <si>
    <t>Elevation</t>
  </si>
  <si>
    <t>If total project costs include elevation costs, click the plus sign to the left of the "Elevation" section in row 43. This will expand the section.</t>
  </si>
  <si>
    <t>Indicate whether the project is in a coastal or non-coastal area and select the appropriate elevation range using the drop down list in column B ("Description"). Enter a brief description of the elevation, including the exact elevation, and a description of any documentation/verification provided  in column C ("Details &amp; Verification").</t>
  </si>
  <si>
    <t>If the project is being elevated less than three feet (3'), elevation will be by fill. List the number of CY of fill required in column D ("Total SF, LF, CY, or Number of Items").</t>
  </si>
  <si>
    <t>If other elevation costs need to be listed, complete the "Other Elevation" rows (starting at row 46). If additional "Other Elevation" rows are needed, click the plus sign to the left of row 46.</t>
  </si>
  <si>
    <t>Demolition</t>
  </si>
  <si>
    <t>If total project costs include demolition costs, click the plus sign to the left of the "Demolition" section in row 50. This will expand the section.</t>
  </si>
  <si>
    <t>For demolition of a house, shed, carport, wooden deck, or flat work, you will need to select the appropriate range from the drop down list in column B. This will autocomplete the total cost of the item.</t>
  </si>
  <si>
    <t>If entering a home demo larger than 3,000 sq ft: select the largest home demo option from the drop down. Use the "Other Demolition" rows to list and sq ftage beyond 3,000 sq ft, and use the sq ft cost listed ($6.55) to calculate the item cost for the amount of home demolished beyond 3,000 sq ft.</t>
  </si>
  <si>
    <t>For fence removal or detached garage demolition, select the appropriate item in column B and enter the number of units in column D ("Total SF, LF, CY, or Number of Items").</t>
  </si>
  <si>
    <t>If the item that needs to be listed is not available in the drop down list in Column B, complete the "Other Demolition" rows (starting at row 62).</t>
  </si>
  <si>
    <t>If additional rows are needed: Click the plus sign to the left of row 56 to add demolition rows with drop down lists. Click the plus sign to the left of row 64 to add "Other Demolition" rows.</t>
  </si>
  <si>
    <t>Accessibility</t>
  </si>
  <si>
    <t>All Recon projects will automatically include $800 dollars for an ADA parking pad.</t>
  </si>
  <si>
    <t>Enter the number of items or SF in column D ("Total SF, LF, or Number of Items").</t>
  </si>
  <si>
    <t>For ramps, use row 78. Enter the number of landings in column D and enter the LF of ramp excluding landings in column G. Note that a switchback landing counts as two regular landings (e.g. ramp with 1 regular and 1 switchback landing, enter "3" in column D). The total LF of ramp and total ramp cost will automatically populate in row 77.</t>
  </si>
  <si>
    <t>If the item that needs to be listed is not available in the drop down list in Column B, complete the "Other Accessibility" rows (starting at row 80).</t>
  </si>
  <si>
    <t>If additional rows are needed: Click the plus sign to the left of row 73 to add accessibility rows with drop down lists. Click the plus sign to the left of row 80 to add "Other Accessibility" rows.</t>
  </si>
  <si>
    <t>Abatement</t>
  </si>
  <si>
    <t>If total project costs include abatement costs, click the plus sign to the left of the "Abatement" section in row 84. This will expand the section.</t>
  </si>
  <si>
    <t>Complete rows 86 through 88 as applicable. Enter a brief description of the specific item and a description of any documentation/verification provided  in column C ("Details &amp; Verification").</t>
  </si>
  <si>
    <t>Water Wells</t>
  </si>
  <si>
    <t>If total project costs include water well costs, click the plus sign to the left of the "Water Wells" section in row 90. This will expand the section.</t>
  </si>
  <si>
    <t>Complete rows 92 through 95 as applicable. Enter a brief description of the specific item and a description of any documentation/verification provided  in column C ("Details &amp; Verification").</t>
  </si>
  <si>
    <t>Septic System</t>
  </si>
  <si>
    <t>If total project costs include septic costs, click the plus sign to the left of the "Septic System" section in row 97. This will expand the section.</t>
  </si>
  <si>
    <t>Complete rows 99 through 102 as applicable. Enter a brief description of the specific item and a description of any documentation/verification provided  in column C ("Details &amp; Verification").</t>
  </si>
  <si>
    <t>Code Requirement</t>
  </si>
  <si>
    <t>If total project costs include items required by city or HOA code, click the plus sign to the left of the "Code Requirement" section in row 104. This will expand the section.</t>
  </si>
  <si>
    <t>Indicate whether the item is required by city or HOA code and select the appropriate item using the drop down list in column B ("Description"). Enter a brief description of the specific item and a description of any documentation/verification provided  in column C ("Details &amp; Verification").</t>
  </si>
  <si>
    <t>For flat work, you will need to select the appropriate range from the drop down list in column B. This will autocomplete the total cost of the item.</t>
  </si>
  <si>
    <t>For garage, brick siding, sod, or hardi plank skirting, select the appropriate item in column B and enter the number of items or SF in column D ("Total SF, LF, CY, or Number of Items").</t>
  </si>
  <si>
    <t>If other items required by code need to be listed, complete the "Other Code" rows (starting at row 111).</t>
  </si>
  <si>
    <t>If additional rows are needed: Click the plus sign to the left of row 107 to add City/HOA code rows with drop down lists. Click the plus sign to the left of row 112 to add "Other Code" rows.</t>
  </si>
  <si>
    <t>Hazard Mitigation and Resiliency</t>
  </si>
  <si>
    <t>All Recon projects will automatically include $600 dollars for roof resiliency.</t>
  </si>
  <si>
    <t>The LF of gutters needed will automatically populate depending on the homeowner county and house plan previously selected.</t>
  </si>
  <si>
    <t>If other hazard mitigation and resiliency costs need to be listed, complete the "Other Hazard/Mit" row (row 122). Enter a brief description of the specific item and a description of any documentation/verification provided  in column C ("Details &amp; Verification").</t>
  </si>
  <si>
    <t>Builder Soft Costs</t>
  </si>
  <si>
    <t>If total project costs include builder soft costs, click the plus sign to the left of the "Soft Costs - Builder" section in row 124. This will expand the section.</t>
  </si>
  <si>
    <t>Builder soft costs are $7,000 for rehab projects and will be included in the builder soft cost subtotal row automatically (as long as rehab costs are included on the 11.17).</t>
  </si>
  <si>
    <t>If the project is eligible for homeowner's insurance costs, select "Yes" from the dropdown list in row 126, in column C ("Indicate if Eligible"). Include NPO status in column D ("Detailed Description").</t>
  </si>
  <si>
    <t>If the project is in a floodplain and is eligible for flood insurance costs, select "Yes" from the dropdown list in row 127, column C ("Indicate if Eligible"). Include NPO and floodplain status in column D ("Detailed Description").</t>
  </si>
  <si>
    <t>The windstorm insurance and insurance admin fee will automatically populate depending on the homeowner's insurance eligibility (selected in row 126, column C) and the homeowner county previously selected.</t>
  </si>
  <si>
    <t>Complete rows 130 and 131 as applicable. Enter a brief description of the specific item and a description of any documentation/verification provided  in column C ("Details &amp; Verification").</t>
  </si>
  <si>
    <t>Vendor Soft Costs</t>
  </si>
  <si>
    <t>If total project costs include vendor soft costs, click the plus sign to the left of the "Soft Costs - Vendor" section in row 133. This will expand the section.</t>
  </si>
  <si>
    <t>For rehab projects: Set up and inspection costs (less the 50%) are combined and are included in the vendor soft costs subtotal row automatically (as long as rehab costs are listed on the 11.17 and the homeowner county has been selected).</t>
  </si>
  <si>
    <t>For recon projects: The set up costs/initial inspection and TREC/complete costs will automatically populate depending on the homeowner county previously selected.</t>
  </si>
  <si>
    <t>Complete rows 137 and 138 as applicable. Enter a brief description of the specific item and a description of any documentation/verification provided  in column C ("Details &amp; Verification").</t>
  </si>
  <si>
    <t>11.17 Scope of Work Write-Up</t>
  </si>
  <si>
    <t>Homeowner Name:</t>
  </si>
  <si>
    <t>Program:</t>
  </si>
  <si>
    <t>Project Number:</t>
  </si>
  <si>
    <t>Is this applicant participating in HRP?</t>
  </si>
  <si>
    <t>Home Address:</t>
  </si>
  <si>
    <t>Homeowner County:</t>
  </si>
  <si>
    <t>SELECT FROM DROP DOWN</t>
  </si>
  <si>
    <t>GLO's Designated Representative (GDR) Signatory Name:</t>
  </si>
  <si>
    <t>Builder Signatory Name:</t>
  </si>
  <si>
    <t>GDR:</t>
  </si>
  <si>
    <t>Building Contractor Name:</t>
  </si>
  <si>
    <t>GDR Contract Number:</t>
  </si>
  <si>
    <t>Builder Contract Number:</t>
  </si>
  <si>
    <t>GENERAL CONSTRUCTION - HARD COSTS</t>
  </si>
  <si>
    <t>Composite Price - INCLUSIVE OF: Plans, permits, engineering costs, labor and materials, contractor insurance, bonding, normal site prep, and normal flat work.</t>
  </si>
  <si>
    <r>
      <rPr>
        <b/>
        <sz val="10"/>
        <color rgb="FFFFFFFF"/>
        <rFont val="Calibri"/>
        <family val="2"/>
        <scheme val="minor"/>
      </rPr>
      <t>+      -</t>
    </r>
  </si>
  <si>
    <t>Description</t>
  </si>
  <si>
    <t>House plan</t>
  </si>
  <si>
    <t>Square Feet</t>
  </si>
  <si>
    <t>Cost per SF
(including Labor)</t>
  </si>
  <si>
    <t>Cost per Item</t>
  </si>
  <si>
    <t>Total</t>
  </si>
  <si>
    <t>Composite Price</t>
  </si>
  <si>
    <t>Nonstandard Price</t>
  </si>
  <si>
    <t>Composite Price Cost</t>
  </si>
  <si>
    <t>Summary Of Rehabilitation Costs -  (Line Items are itemized below)</t>
  </si>
  <si>
    <t>Detailed Description</t>
  </si>
  <si>
    <t>Rehabilitation Cost (populated from rehab tab)</t>
  </si>
  <si>
    <t>Rehabilitation Cost (total Xactimate costs if used)</t>
  </si>
  <si>
    <t>Rehabilitation Cost</t>
  </si>
  <si>
    <t>SITE SPECIFIC - In Addition to Normal Scope (Reconstruction Only)</t>
  </si>
  <si>
    <r>
      <rPr>
        <b/>
        <sz val="10"/>
        <color rgb="FFFFFFFF"/>
        <rFont val="Calibri"/>
        <family val="2"/>
        <scheme val="minor"/>
      </rPr>
      <t>+</t>
    </r>
  </si>
  <si>
    <t>Details &amp; Verification</t>
  </si>
  <si>
    <t>Total SF, LF, CY, VF, or Number of Items</t>
  </si>
  <si>
    <t>Unit</t>
  </si>
  <si>
    <t>Cost per Unit
(including Labor)</t>
  </si>
  <si>
    <t>SELECT ITEM FROM DROP DOWN LIST</t>
  </si>
  <si>
    <t>Other Site Prep</t>
  </si>
  <si>
    <t>Sub-Total - Site Specific/Site Prep</t>
  </si>
  <si>
    <t>ELEVATION</t>
  </si>
  <si>
    <t>Details &amp; Verification
(include exact elevation)</t>
  </si>
  <si>
    <t>Total SF, LF, CY, or Number of Items
(CY of Fill)</t>
  </si>
  <si>
    <t>Cost per Item
(includes deduction for 3 ft or more of elevation)</t>
  </si>
  <si>
    <t>SELECT FROM DROP DOWN LIST</t>
  </si>
  <si>
    <t>Other Elevation (Coastal/Non-Coastal)</t>
  </si>
  <si>
    <t>Sub-Total - Elevation</t>
  </si>
  <si>
    <t>DEMOLITION</t>
  </si>
  <si>
    <r>
      <rPr>
        <b/>
        <sz val="10"/>
        <color rgb="FFFFFFFF"/>
        <rFont val="Calibri"/>
        <family val="2"/>
        <scheme val="minor"/>
      </rPr>
      <t>-</t>
    </r>
  </si>
  <si>
    <t>Total SF, LF, CY, or Number of Items</t>
  </si>
  <si>
    <t>Other Demolition</t>
  </si>
  <si>
    <t>Sub-Total - Demolition</t>
  </si>
  <si>
    <t>ACCESSIBILITY</t>
  </si>
  <si>
    <t>Details &amp; Verification
(describe location of grab bars)</t>
  </si>
  <si>
    <t>Cost per Item (includes tub, alarm, doorbell deductions)</t>
  </si>
  <si>
    <r>
      <t xml:space="preserve">Ramp: </t>
    </r>
    <r>
      <rPr>
        <b/>
        <sz val="9"/>
        <rFont val="Calibri"/>
        <family val="2"/>
        <scheme val="minor"/>
      </rPr>
      <t>complete row below</t>
    </r>
  </si>
  <si>
    <t>For Ramp only</t>
  </si>
  <si>
    <t>Number of landings:
(1 switchback landing = 2 landings)</t>
  </si>
  <si>
    <t>LF of ramp excluding landings:</t>
  </si>
  <si>
    <t>ADA Parking Pad</t>
  </si>
  <si>
    <t>20' X 5'</t>
  </si>
  <si>
    <t>Vertical Platform Lift: SELECT FROM DROP DOWN LIST</t>
  </si>
  <si>
    <t>Vertical Platform Lift: 12'+ -- Provide Quote</t>
  </si>
  <si>
    <t>Other Accessibility</t>
  </si>
  <si>
    <t>Sub-Total - Accessibility</t>
  </si>
  <si>
    <t xml:space="preserve">ABATEMENT </t>
  </si>
  <si>
    <t>Lead Paint Abatement</t>
  </si>
  <si>
    <t>Asbestos</t>
  </si>
  <si>
    <t>Other Abatement</t>
  </si>
  <si>
    <t>Sub-Total - Abatement</t>
  </si>
  <si>
    <t>Well Replacement</t>
  </si>
  <si>
    <t>Water Well Repair/Service</t>
  </si>
  <si>
    <t xml:space="preserve">Decommission Water Well </t>
  </si>
  <si>
    <t>Other Water Well</t>
  </si>
  <si>
    <t>Sub-Total - Water Wells</t>
  </si>
  <si>
    <t>Septic Replacement</t>
  </si>
  <si>
    <t>Septic System Repair/Service</t>
  </si>
  <si>
    <t>Decommission Septic Tank</t>
  </si>
  <si>
    <t>Other Septic</t>
  </si>
  <si>
    <t>Sub-Total - Septic System</t>
  </si>
  <si>
    <t>CODE REQUIREMENT</t>
  </si>
  <si>
    <t>Details &amp; Verification
Include Code Reference</t>
  </si>
  <si>
    <t>Cost per Item
(includes deduction for brick siding)</t>
  </si>
  <si>
    <t>Other Code</t>
  </si>
  <si>
    <t xml:space="preserve">Sub-Total - Code Requirement </t>
  </si>
  <si>
    <t xml:space="preserve">HAZARD MITIGATION AND RESILIENCY </t>
  </si>
  <si>
    <t>Total SF, LF, or Number of Items</t>
  </si>
  <si>
    <t xml:space="preserve">Roof Resiliency </t>
  </si>
  <si>
    <t>Gutters</t>
  </si>
  <si>
    <t>Other Hazard/Mit</t>
  </si>
  <si>
    <t xml:space="preserve">Sub-Total - Hazard Mitigation and Resiliency </t>
  </si>
  <si>
    <t>SOFT COSTS - BUILDER</t>
  </si>
  <si>
    <t>Indicate if Eligible</t>
  </si>
  <si>
    <t>Detailed Description
Include NPO and Floodplain Status</t>
  </si>
  <si>
    <t>Homeowner's Insurance</t>
  </si>
  <si>
    <t xml:space="preserve">Flood Insurance </t>
  </si>
  <si>
    <t>Windstorm</t>
  </si>
  <si>
    <t>Insurance Admin Fee</t>
  </si>
  <si>
    <t>Other Builder Soft Cost</t>
  </si>
  <si>
    <t>Subtotal - Misc. Soft Costs - Builder</t>
  </si>
  <si>
    <t>SOFT COSTS - Vendor</t>
  </si>
  <si>
    <t>Details &amp; Verification
Include NPO Status</t>
  </si>
  <si>
    <t>Set Up Costs and Initial Inspection</t>
  </si>
  <si>
    <t xml:space="preserve">Per Vendor's GLO Work Order </t>
  </si>
  <si>
    <t>50/Final/TREC Complete</t>
  </si>
  <si>
    <t>Relocation Expenses (if applicable)</t>
  </si>
  <si>
    <t>Other Vendor Soft Cost</t>
  </si>
  <si>
    <t>Subtotal - Soft Costs Vendor</t>
  </si>
  <si>
    <t>Total Costs</t>
  </si>
  <si>
    <t>TOTAL PROJECT COSTS</t>
  </si>
  <si>
    <t>ESCROW PAID BY APPLICANT</t>
  </si>
  <si>
    <r>
      <t xml:space="preserve">TOTAL BUDGETED PROJECT COSTS </t>
    </r>
    <r>
      <rPr>
        <sz val="10"/>
        <rFont val="Calibri"/>
        <family val="2"/>
        <scheme val="minor"/>
      </rPr>
      <t>(Amount GLO will pay after escrow deducted)</t>
    </r>
  </si>
  <si>
    <t>Signatures</t>
  </si>
  <si>
    <t>Warning: Any person who knowingly makes a false claim or statement to HUD may be subject to civil or criminal penalties under 18 U.S.C. 287, 1001 and 31 U.S.C. 3729.</t>
  </si>
  <si>
    <t>If it is determined through monitoring that the on-site support documentation of actual costs does not agree with the itemized invoice(s) submitted, the GDR and/or builder will be subject to repayment of CDBG funds. GDR and/or builder may not request funds in excess of the actual amount expended for rehabilitation or reconstruction of the eligible home.</t>
  </si>
  <si>
    <t>Applicant Approval of Minor Change Orders</t>
  </si>
  <si>
    <t>In the instance that there are minor changes to my scope of work that do not exceed $5,000 and do not include demolition activities, I authorize the modifiction and price increase, as applicable.</t>
  </si>
  <si>
    <t>Homeowner Signature:</t>
  </si>
  <si>
    <t>Date:</t>
  </si>
  <si>
    <t>11.17 Signatures</t>
  </si>
  <si>
    <t>Builder Signature:</t>
  </si>
  <si>
    <t>GLO's Designated Representative Signature:</t>
  </si>
  <si>
    <t>Updated February 2023 - Version 16</t>
  </si>
  <si>
    <r>
      <t>Disclaimer:</t>
    </r>
    <r>
      <rPr>
        <i/>
        <sz val="9"/>
        <color rgb="FF000000"/>
        <rFont val="Calibri"/>
        <family val="2"/>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</si>
  <si>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t>City </t>
  </si>
  <si>
    <t>Regarding </t>
  </si>
  <si>
    <t>Source </t>
  </si>
  <si>
    <t>Beaumont </t>
  </si>
  <si>
    <t>Drainage, site stabilization </t>
  </si>
  <si>
    <t>Code of Ordinances §22.02.005 and §01-099, 1(D)(97) </t>
  </si>
  <si>
    <t>Driveway approach </t>
  </si>
  <si>
    <t>Code of Ordinances §14.03.058</t>
  </si>
  <si>
    <t>Driveway approaches and sidewalks (asphalt or concrete)  </t>
  </si>
  <si>
    <t>Letter from Beaumont Public Works Department dated August 27, 2019 </t>
  </si>
  <si>
    <t>Driveway construction curb cuts</t>
  </si>
  <si>
    <t>Code of Ordinances §14.03.056 </t>
  </si>
  <si>
    <t>Culvert for driveways</t>
  </si>
  <si>
    <t>City of Beaumont Driveway Construction and Maintenance document and Code of Ordinances §14.03</t>
  </si>
  <si>
    <t>Sidewalks </t>
  </si>
  <si>
    <t>Code of Ordinances §26.03.004(1) </t>
  </si>
  <si>
    <t>Bridge City</t>
  </si>
  <si>
    <t>Off street parking </t>
  </si>
  <si>
    <t xml:space="preserve">City of Ordinances §13.01.(1) </t>
  </si>
  <si>
    <t>Corpus Christi</t>
  </si>
  <si>
    <t>Driveway approach</t>
  </si>
  <si>
    <t>Code of Ordinances Article II Division 1 §49-21 and City Unified Development Code 7.2.11.</t>
  </si>
  <si>
    <t xml:space="preserve">2 car off-street parking </t>
  </si>
  <si>
    <t>City Unified Development Code 7.2.2.(B)</t>
  </si>
  <si>
    <t>Curb and gutter</t>
  </si>
  <si>
    <t>Code of Ordinances §49-21.(A) </t>
  </si>
  <si>
    <t>Code of Ordinances §49-34</t>
  </si>
  <si>
    <t>Tree Code</t>
  </si>
  <si>
    <t>City of Corpus Christi Amendment Memo to the Unified Development Code(UDC) dated October 1, 2021. UDC § 7.3.3A</t>
  </si>
  <si>
    <t>Dickinson </t>
  </si>
  <si>
    <t>Code of Ordinances §5-30.(a)(3)  </t>
  </si>
  <si>
    <t>Skirting </t>
  </si>
  <si>
    <t>Code of Ordinances §18-50.(4)(g)  </t>
  </si>
  <si>
    <t>Ingleside</t>
  </si>
  <si>
    <t>Code of Ordinances §78.353(a)</t>
  </si>
  <si>
    <t>La Marque </t>
  </si>
  <si>
    <t>Driveway standard </t>
  </si>
  <si>
    <t>Appendix A of Engineering Design Criteria Manual </t>
  </si>
  <si>
    <t>Drainage plan required for new construction</t>
  </si>
  <si>
    <t>Code of Ordinances §41-62</t>
  </si>
  <si>
    <t>Orange </t>
  </si>
  <si>
    <t>City of Ordinances §12.610 (d)(1)</t>
  </si>
  <si>
    <t>Code of Ordinances §9.114(9) </t>
  </si>
  <si>
    <t>Portland</t>
  </si>
  <si>
    <t>2 car garage</t>
  </si>
  <si>
    <t>City of Ordinances §702.(B)(1)</t>
  </si>
  <si>
    <t>Driveway and 2 car off-street parking</t>
  </si>
  <si>
    <t>City of Ordinances §702.(B)(2)</t>
  </si>
  <si>
    <t xml:space="preserve"> 75% masonry</t>
  </si>
  <si>
    <t>City of Ordinances §702.(B)(4)</t>
  </si>
  <si>
    <t>Port Arthur </t>
  </si>
  <si>
    <t>Concrete driveway from parking pad to street</t>
  </si>
  <si>
    <t>Email from City on August 19th 2020 for City of Ordinances Sec. 8-100.(2)</t>
  </si>
  <si>
    <t>Culvert for drainage in connection with driveways</t>
  </si>
  <si>
    <t>City of Ordinances §94-291.(a)</t>
  </si>
  <si>
    <t xml:space="preserve">SOD for stormwater management </t>
  </si>
  <si>
    <t>City of Ordinances  §93-8. (f)(3)(1)(iii)</t>
  </si>
  <si>
    <t>Off-street parking  </t>
  </si>
  <si>
    <t>Code of Ordinances §8-100.(2) and City of Port Arthur Building Permits</t>
  </si>
  <si>
    <t>Schedule of uses (required items example, sidewalks, approach)</t>
  </si>
  <si>
    <t>Code of Ordinances §7-100. </t>
  </si>
  <si>
    <t>Code of Ordinances §98-257.(a) and City of Port Arthur Building Permits</t>
  </si>
  <si>
    <t xml:space="preserve">Port Neches </t>
  </si>
  <si>
    <t>City of Ordinances  §126.5.5.s</t>
  </si>
  <si>
    <t>Rockport</t>
  </si>
  <si>
    <t>Driveway apron</t>
  </si>
  <si>
    <t>Zone Ordinance No. 1027 21.4</t>
  </si>
  <si>
    <t>Driveway culvert</t>
  </si>
  <si>
    <t>Zone Ordinance No. 1027 21.4 and permit request form</t>
  </si>
  <si>
    <t>San Patricio</t>
  </si>
  <si>
    <t>Elevating 2 VF</t>
  </si>
  <si>
    <t>2021 San Patricio County Flood Damage Prevention Order</t>
  </si>
  <si>
    <t>Texas City </t>
  </si>
  <si>
    <t>60% brick, stone, or masonry siding </t>
  </si>
  <si>
    <t>Code of Ordinances §160.024(f) </t>
  </si>
  <si>
    <t>Conformity (brick siding, garage, shed, shingles) </t>
  </si>
  <si>
    <t>GLO's email dated 7/5/2021 stating shed will be built instead of garage and Inspection Guidelines - February 3, 2020 Memo* </t>
  </si>
  <si>
    <t>New Construction in non-special flood hazard 7' mean sea level or 18"above curb, whichever greater.</t>
  </si>
  <si>
    <t>Code of Ordinances §157.40 (H)</t>
  </si>
  <si>
    <t>Minimum Floor Elevation outside storm tide = 1' above 100-yr flood, inside storm tide= 7' mean above sea level.</t>
  </si>
  <si>
    <t>Code of Ordinances §159.055 (A)(B)</t>
  </si>
  <si>
    <t>Victoria</t>
  </si>
  <si>
    <t>Sidewalk, and driveway approach</t>
  </si>
  <si>
    <t>City's document of building requirements</t>
  </si>
  <si>
    <t>2 car off-street parking </t>
  </si>
  <si>
    <t>Code of Ordinances §21-92(a)</t>
  </si>
  <si>
    <t>ONLY COMPLETE FOR REHABILITATION IN THE ABSENSE OF EXACTIMATE</t>
  </si>
  <si>
    <t>Foundation</t>
  </si>
  <si>
    <r>
      <rPr>
        <b/>
        <sz val="9"/>
        <color rgb="FFFFFFFF"/>
        <rFont val="Calibri"/>
        <family val="2"/>
        <scheme val="minor"/>
      </rPr>
      <t>+      -</t>
    </r>
  </si>
  <si>
    <t>Specification Detailed Description</t>
  </si>
  <si>
    <t>Cost per SF, LF, CY, or Item (including Labor)</t>
  </si>
  <si>
    <t>Slab</t>
  </si>
  <si>
    <t>Porch</t>
  </si>
  <si>
    <t>Other</t>
  </si>
  <si>
    <t>Note: Activities in the above area may be subject to Windstorm certification</t>
  </si>
  <si>
    <t>Foundation Cost</t>
  </si>
  <si>
    <t>Flat Work</t>
  </si>
  <si>
    <t>Flat Work Cost</t>
  </si>
  <si>
    <t>Plumbing</t>
  </si>
  <si>
    <t>Underground</t>
  </si>
  <si>
    <t>Rough-in</t>
  </si>
  <si>
    <t>Top-Off</t>
  </si>
  <si>
    <t>Kitchen Sink</t>
  </si>
  <si>
    <t>Toilet</t>
  </si>
  <si>
    <t>Toilet Seat</t>
  </si>
  <si>
    <t>Tub w/Surround</t>
  </si>
  <si>
    <t>Bathroom Faucet</t>
  </si>
  <si>
    <t>Tub Faucet</t>
  </si>
  <si>
    <t>Copper/PVC/Flex</t>
  </si>
  <si>
    <t>Hose Bib</t>
  </si>
  <si>
    <t>Plumbing Cost</t>
  </si>
  <si>
    <t>Electrical</t>
  </si>
  <si>
    <t>Electric Rough-In</t>
  </si>
  <si>
    <t>Electric Top-Off</t>
  </si>
  <si>
    <t>Range Vent</t>
  </si>
  <si>
    <t>Bath Vanity Light</t>
  </si>
  <si>
    <t>Bath Vent/Light</t>
  </si>
  <si>
    <t>Ceiling Fans</t>
  </si>
  <si>
    <t>Exterior Lights</t>
  </si>
  <si>
    <t>Kitchen Light</t>
  </si>
  <si>
    <t>Utility Area Light</t>
  </si>
  <si>
    <t>Bedroom Lights</t>
  </si>
  <si>
    <t>Area Light</t>
  </si>
  <si>
    <t>Closet Light</t>
  </si>
  <si>
    <t>Electrical Cost</t>
  </si>
  <si>
    <t>Framing</t>
  </si>
  <si>
    <t>Studs (Interior)</t>
  </si>
  <si>
    <t>Studs (Exterior)</t>
  </si>
  <si>
    <t>Framing Cost</t>
  </si>
  <si>
    <t>Doors &amp; Windows</t>
  </si>
  <si>
    <t>Interior Doors</t>
  </si>
  <si>
    <t>Interior Door Knobs</t>
  </si>
  <si>
    <t>Exterior Doors</t>
  </si>
  <si>
    <t>Deadbolts</t>
  </si>
  <si>
    <t>Storm Doors</t>
  </si>
  <si>
    <t>Windows and Screens</t>
  </si>
  <si>
    <t>Doors &amp; Windows Cost</t>
  </si>
  <si>
    <t>Insulation</t>
  </si>
  <si>
    <t>Insulation Cost</t>
  </si>
  <si>
    <t>Exterior Surface</t>
  </si>
  <si>
    <t>Siding, Soffits, and Trim</t>
  </si>
  <si>
    <t>Masonry</t>
  </si>
  <si>
    <t>Exterior Surface Cost</t>
  </si>
  <si>
    <t>Interior Surface</t>
  </si>
  <si>
    <t>Dry Wall</t>
  </si>
  <si>
    <t>Tape, Texture and Trim</t>
  </si>
  <si>
    <t>Interior Surface Cost</t>
  </si>
  <si>
    <t>Mechanical</t>
  </si>
  <si>
    <r>
      <rPr>
        <b/>
        <sz val="10"/>
        <color rgb="FFFFFFFF"/>
        <rFont val="Calibri"/>
        <family val="2"/>
        <scheme val="minor"/>
      </rPr>
      <t>+      -
+      -</t>
    </r>
  </si>
  <si>
    <t>HVAC</t>
  </si>
  <si>
    <t>Mechanical Cost</t>
  </si>
  <si>
    <t>Finish Carpentry</t>
  </si>
  <si>
    <t>Trim Carpentry</t>
  </si>
  <si>
    <t>Finish Carpentry Cost</t>
  </si>
  <si>
    <t>Cabinets</t>
  </si>
  <si>
    <t>Base Cabinets</t>
  </si>
  <si>
    <t>Wall Cabinets</t>
  </si>
  <si>
    <t>Counter Top</t>
  </si>
  <si>
    <t>Bath Vanity</t>
  </si>
  <si>
    <t>Cabinet Cost</t>
  </si>
  <si>
    <t>Appliances</t>
  </si>
  <si>
    <t>Range</t>
  </si>
  <si>
    <t>Refrigerator</t>
  </si>
  <si>
    <t>Disposal</t>
  </si>
  <si>
    <t>Dishwasher</t>
  </si>
  <si>
    <t>Appliances Cost</t>
  </si>
  <si>
    <t>Flooring</t>
  </si>
  <si>
    <t>Carpet</t>
  </si>
  <si>
    <t>Vinyl</t>
  </si>
  <si>
    <t>Flooring Cost</t>
  </si>
  <si>
    <t>Paint</t>
  </si>
  <si>
    <t>Interior Paint</t>
  </si>
  <si>
    <t>Exterior Paint</t>
  </si>
  <si>
    <t>Paint Cost</t>
  </si>
  <si>
    <t>Roofing</t>
  </si>
  <si>
    <t>Shingles</t>
  </si>
  <si>
    <t>Decking</t>
  </si>
  <si>
    <t>Roofing Cost</t>
  </si>
  <si>
    <t>Finish Details</t>
  </si>
  <si>
    <t>Med, Cab/Mirror</t>
  </si>
  <si>
    <t>Hardware</t>
  </si>
  <si>
    <t>Finish Details Cost</t>
  </si>
  <si>
    <t>Total Rehabilitaiton Construction Costs</t>
  </si>
  <si>
    <t xml:space="preserve">Housing Change Order </t>
  </si>
  <si>
    <t>Project number:</t>
  </si>
  <si>
    <t>Change Order #</t>
  </si>
  <si>
    <t>CO1</t>
  </si>
  <si>
    <t>Builder Name:</t>
  </si>
  <si>
    <t>GDR Signatory Name:</t>
  </si>
  <si>
    <t>Current Project Allocation:</t>
  </si>
  <si>
    <t>Comments:</t>
  </si>
  <si>
    <t>Construction Contract Change in Days - ONLY NEEDED IF ADDITIONAL CONSTRUCTIONS DAYS ARE REQUESTED</t>
  </si>
  <si>
    <t>Original Notice to Proceed Date:</t>
  </si>
  <si>
    <t>Original Construction End Date:</t>
  </si>
  <si>
    <t>Requested Additional Days:</t>
  </si>
  <si>
    <t>New Construction End Date:</t>
  </si>
  <si>
    <t>Short statement explaining why additional days are being requested.  Documentation must be provided to support additional days:</t>
  </si>
  <si>
    <t>Change in Allocation - ONLY NEEDED IF THERE IS A CHANGE IN ALLOCATION</t>
  </si>
  <si>
    <t xml:space="preserve">COMPOSITE PRICE </t>
  </si>
  <si>
    <t>Original Composite Price Cost</t>
  </si>
  <si>
    <t>Original Cost Per Item</t>
  </si>
  <si>
    <t>Current Cost per Item</t>
  </si>
  <si>
    <t>Description of Construction (include unites and measurements)</t>
  </si>
  <si>
    <t>Reason for Change</t>
  </si>
  <si>
    <t>Change in Costs           (+ or -)</t>
  </si>
  <si>
    <t>Change in Composite Price Cost</t>
  </si>
  <si>
    <t>New Composite Price Cost</t>
  </si>
  <si>
    <t>SUMMARY OF REHABLITATION COSTS -  (Line Items are itemized below)</t>
  </si>
  <si>
    <t>Original Rehabilitation Cost</t>
  </si>
  <si>
    <t>Change in Rehabilitation Cost</t>
  </si>
  <si>
    <t>New Rehabilitation Cost</t>
  </si>
  <si>
    <t>Original Sub-Total - Site Specific/Site Prep</t>
  </si>
  <si>
    <t>Original Cost Per Item
(Refer to 1117)</t>
  </si>
  <si>
    <t>Description of Construction (include units and measurements)</t>
  </si>
  <si>
    <t>Verification</t>
  </si>
  <si>
    <t>Change in Sub-Total - Site Specific/Site Prep</t>
  </si>
  <si>
    <t>New Sub-Total - Site Specific/Site Prep</t>
  </si>
  <si>
    <t>Original Sub-Total - Elevation</t>
  </si>
  <si>
    <t>Change in Sub-Total - Elevation</t>
  </si>
  <si>
    <t>New Sub-Total - Elevation</t>
  </si>
  <si>
    <t>Original Sub-Total - Demolition</t>
  </si>
  <si>
    <t>Change in Sub-Total - Demolition</t>
  </si>
  <si>
    <t>New Sub-Total - Demolition</t>
  </si>
  <si>
    <t>Original Sub-Total - Accessibility</t>
  </si>
  <si>
    <t>Change in Sub-Total - Accessibility</t>
  </si>
  <si>
    <t>New Sub-Total - Accessibility</t>
  </si>
  <si>
    <t>Original Sub-Total - Abatement</t>
  </si>
  <si>
    <t>Change in Sub-Total - Abatement</t>
  </si>
  <si>
    <t>New Sub-Total - Abatement</t>
  </si>
  <si>
    <t>WATER WELLS</t>
  </si>
  <si>
    <t>Original Sub-Total - Water Wells</t>
  </si>
  <si>
    <t>Change in Sub-Total - Water Wells</t>
  </si>
  <si>
    <t>New Sub-Total - Water Wells</t>
  </si>
  <si>
    <t>SEPTIC SYSTEM</t>
  </si>
  <si>
    <t>Original Sub-Total - Septic System</t>
  </si>
  <si>
    <t>Change in Sub-Total - Septic System</t>
  </si>
  <si>
    <t>New Sub-Total - Septic System</t>
  </si>
  <si>
    <t xml:space="preserve">Original Sub-Total - Code Requirement </t>
  </si>
  <si>
    <t xml:space="preserve">Change in Sub-Total - Code Requirement </t>
  </si>
  <si>
    <t xml:space="preserve">New Sub-Total - Code Requirement </t>
  </si>
  <si>
    <t>HAZARD MITIGATION AND RESILIENCY</t>
  </si>
  <si>
    <t xml:space="preserve">Original Sub-Total - Hazard Mitigation and Resiliency </t>
  </si>
  <si>
    <t xml:space="preserve">Change in Sub-Total - Hazard Mitigation and Resiliency </t>
  </si>
  <si>
    <t xml:space="preserve">New Sub-Total - Hazard Mitigation and Resiliency </t>
  </si>
  <si>
    <t>Original Subtotal - Misc. Soft Costs - Builder</t>
  </si>
  <si>
    <t>Change in Subtotal - Misc. Soft Costs - Builder</t>
  </si>
  <si>
    <t>New Subtotal - Misc. Soft Costs - Builder</t>
  </si>
  <si>
    <t>SOFT COSTS - VENDOR</t>
  </si>
  <si>
    <t>Original Subtotal - Soft Costs Vendor</t>
  </si>
  <si>
    <t>Change in Subtotal - Soft Costs Vendor</t>
  </si>
  <si>
    <t>New Subtotal - Soft Costs Vendor</t>
  </si>
  <si>
    <t>CURRENT TOTAL PROJECT COSTS</t>
  </si>
  <si>
    <t>TOTAL CHANGE ORDER - CO1</t>
  </si>
  <si>
    <t>SUBTOTAL TOTAL PROJECT COSTS (Current project costs + Total Change Order)</t>
  </si>
  <si>
    <t>Warning: Any person who knowingly makes a false claim or statement to HUD may be subject to civil or criminal penalties under 18 U.S.C. 287, 1001 and 31 U.S.C. 3729</t>
  </si>
  <si>
    <t xml:space="preserve">NOTE: ALL Signatures are required to validate and authorize the Change Order. Exception: If Vendor soft costs are the only item listed in the Change Order, solely the Homeowner and Subrecipient/State Representative signatures are required. </t>
  </si>
  <si>
    <t>GLO's Designated Representative (GDR) Signature:</t>
  </si>
  <si>
    <r>
      <t>Disclaimer:</t>
    </r>
    <r>
      <rPr>
        <i/>
        <sz val="10"/>
        <color rgb="FF000000"/>
        <rFont val="Calibri"/>
        <family val="2"/>
      </rPr>
      <t xml:space="preserve"> The Texas General Land Office has made every effort to ensure the information contained on this form is accurate and in compliance with the most up-to-date CDBG-DR and/or CDBG-MIT federal rules and regulations, as applicable. It should be noted that the Texas General Land Office assumes no liability or responsibility for any error or omission on this form that may result from the interim period between the publication of amended and/or revised federal rules and regulations and the Texas General Land Office's standard review and update schedule.</t>
    </r>
  </si>
  <si>
    <t>CO2</t>
  </si>
  <si>
    <t>Original Cost Per Item
(Refer to 1117/CO)</t>
  </si>
  <si>
    <t>TOTAL CHANGE ORDER - CO2</t>
  </si>
  <si>
    <t>CO3</t>
  </si>
  <si>
    <t>TOTAL CHANGE ORDER - CO3</t>
  </si>
  <si>
    <t>CO4</t>
  </si>
  <si>
    <t>CO5</t>
  </si>
  <si>
    <t>Vendor Invoice info</t>
  </si>
  <si>
    <t>Harvey</t>
  </si>
  <si>
    <t>Used for Dropdown</t>
  </si>
  <si>
    <t>ALLCO</t>
  </si>
  <si>
    <t>Zone:</t>
  </si>
  <si>
    <t>County</t>
  </si>
  <si>
    <t>Vendor</t>
  </si>
  <si>
    <t>Zone</t>
  </si>
  <si>
    <t>Contract Number</t>
  </si>
  <si>
    <t>Initial Inspection</t>
  </si>
  <si>
    <t>TREC Inspection</t>
  </si>
  <si>
    <t>Rehab Total</t>
  </si>
  <si>
    <t>Builder Contract #s</t>
  </si>
  <si>
    <t>Builders</t>
  </si>
  <si>
    <t>Harvey SF - TEMPORARY</t>
  </si>
  <si>
    <t>Aransas</t>
  </si>
  <si>
    <t>GrantWorks</t>
  </si>
  <si>
    <t>18-304-013-B317</t>
  </si>
  <si>
    <t>Builder</t>
  </si>
  <si>
    <t>Program</t>
  </si>
  <si>
    <t>helper</t>
  </si>
  <si>
    <t>Plan</t>
  </si>
  <si>
    <t>Bedrooms</t>
  </si>
  <si>
    <t>SqFt</t>
  </si>
  <si>
    <t>PerSqFt</t>
  </si>
  <si>
    <t>GuttersLF</t>
  </si>
  <si>
    <t>Plan Options</t>
  </si>
  <si>
    <t>Austin</t>
  </si>
  <si>
    <t>AECOM</t>
  </si>
  <si>
    <t>18-304-002-B314</t>
  </si>
  <si>
    <t>19-094-012-B565</t>
  </si>
  <si>
    <t>Brizo</t>
  </si>
  <si>
    <t>Augustine</t>
  </si>
  <si>
    <t>Augustine - Option 1</t>
  </si>
  <si>
    <t>Bastrop</t>
  </si>
  <si>
    <t>18-304-013-B316</t>
  </si>
  <si>
    <t>19-094-001-B537</t>
  </si>
  <si>
    <t>Brizo-Tilt Wall</t>
  </si>
  <si>
    <t>Augustine - Option 2</t>
  </si>
  <si>
    <t>Bee</t>
  </si>
  <si>
    <t>Brydson</t>
  </si>
  <si>
    <t>19-094-001-B538</t>
  </si>
  <si>
    <t>Augustine - Option 3</t>
  </si>
  <si>
    <t>Brazoria</t>
  </si>
  <si>
    <t>IEM</t>
  </si>
  <si>
    <t>18-304-032-B318</t>
  </si>
  <si>
    <t>Core</t>
  </si>
  <si>
    <t>19-094-001-B539</t>
  </si>
  <si>
    <t>Bonsai</t>
  </si>
  <si>
    <t>Bonsai - Option 1</t>
  </si>
  <si>
    <t>Burleson</t>
  </si>
  <si>
    <t>DRC</t>
  </si>
  <si>
    <t>19-094-002-B549</t>
  </si>
  <si>
    <t>Bonsai - Option 2</t>
  </si>
  <si>
    <t>Caldwell</t>
  </si>
  <si>
    <t>DSW</t>
  </si>
  <si>
    <t>19-094-004-B540</t>
  </si>
  <si>
    <t>Bonsai - Option 3</t>
  </si>
  <si>
    <t>Calhoun</t>
  </si>
  <si>
    <t>Ducky</t>
  </si>
  <si>
    <t>19-094-004-B541</t>
  </si>
  <si>
    <t>DSW-Steel Frame</t>
  </si>
  <si>
    <t>Hibiscus</t>
  </si>
  <si>
    <t>Hibiscus - Option 1</t>
  </si>
  <si>
    <t>Cameron-18-19</t>
  </si>
  <si>
    <t>21-064-001-C847</t>
  </si>
  <si>
    <t>JW_Turner</t>
  </si>
  <si>
    <t>19-094-004-B542</t>
  </si>
  <si>
    <t>Hibiscus - Option 2</t>
  </si>
  <si>
    <t>Chambers</t>
  </si>
  <si>
    <t>Lemoine</t>
  </si>
  <si>
    <t>19-094-014-B567</t>
  </si>
  <si>
    <t>ICON-3D</t>
  </si>
  <si>
    <t>Hibiscus - Option 3</t>
  </si>
  <si>
    <t>Chambers-18-19</t>
  </si>
  <si>
    <t>21-064-002-C858</t>
  </si>
  <si>
    <t>RM_Quality</t>
  </si>
  <si>
    <t>19-094-006-B526</t>
  </si>
  <si>
    <t>JW Turner</t>
  </si>
  <si>
    <t>Kincaid</t>
  </si>
  <si>
    <t>Kincaid - Option A</t>
  </si>
  <si>
    <t>Colorado</t>
  </si>
  <si>
    <t>Stonewater</t>
  </si>
  <si>
    <t>19-094-006-B527</t>
  </si>
  <si>
    <t>JW Turner-Resil Struct</t>
  </si>
  <si>
    <t>Kincaid - Option B</t>
  </si>
  <si>
    <t>Comal</t>
  </si>
  <si>
    <t>Sullivan_SLSCO</t>
  </si>
  <si>
    <t>19-094-006-B528</t>
  </si>
  <si>
    <t>JW Turner-Resil Wood</t>
  </si>
  <si>
    <t>Kincaid - Option C</t>
  </si>
  <si>
    <t>DeWitt</t>
  </si>
  <si>
    <t>Tegrity</t>
  </si>
  <si>
    <t>19-094-015-B568</t>
  </si>
  <si>
    <t>Magnolia</t>
  </si>
  <si>
    <t>Magnolia - Option 1</t>
  </si>
  <si>
    <t>Fayette</t>
  </si>
  <si>
    <t>Thompson</t>
  </si>
  <si>
    <t>19-094-007-B531</t>
  </si>
  <si>
    <t>RM quality</t>
  </si>
  <si>
    <t>Magnolia - Option 2</t>
  </si>
  <si>
    <t>Fort Bend</t>
  </si>
  <si>
    <t>TKTMJ</t>
  </si>
  <si>
    <t>19-094-007-B532</t>
  </si>
  <si>
    <t>Magnolia - Option 3</t>
  </si>
  <si>
    <t>Galveston</t>
  </si>
  <si>
    <t>Yates</t>
  </si>
  <si>
    <t>19-094-007-B533</t>
  </si>
  <si>
    <t>Sullivan (SLSCO)</t>
  </si>
  <si>
    <t>Maple</t>
  </si>
  <si>
    <t>Maple - Option 1</t>
  </si>
  <si>
    <t>Goliad</t>
  </si>
  <si>
    <t>19-094-016-B569</t>
  </si>
  <si>
    <t>Maple - Option 2</t>
  </si>
  <si>
    <t>Gonzales</t>
  </si>
  <si>
    <t>19-094-008-B546</t>
  </si>
  <si>
    <t>Maple - Option 3</t>
  </si>
  <si>
    <t>Grimes</t>
  </si>
  <si>
    <t>19-094-008-B547</t>
  </si>
  <si>
    <t>Mimosa</t>
  </si>
  <si>
    <t>Mimosa - Option 1</t>
  </si>
  <si>
    <t>Guadalupe</t>
  </si>
  <si>
    <t>19-094-009-B543</t>
  </si>
  <si>
    <t>Mimosa - Option 2</t>
  </si>
  <si>
    <t>Hardin</t>
  </si>
  <si>
    <t>18-304-002-B315</t>
  </si>
  <si>
    <t>19-094-009-B544</t>
  </si>
  <si>
    <t>Mimosa - Option 3</t>
  </si>
  <si>
    <t>Harris-18-19 (Windstorm)</t>
  </si>
  <si>
    <t>19-094-009-B545</t>
  </si>
  <si>
    <t>Presidential</t>
  </si>
  <si>
    <t>Presidential - Option 1</t>
  </si>
  <si>
    <t>Harris-18-19 (No Windstorm)</t>
  </si>
  <si>
    <t>19-094-013-B566</t>
  </si>
  <si>
    <t>Presidential - Option 2</t>
  </si>
  <si>
    <t>Hidalgo-18-19</t>
  </si>
  <si>
    <t>19-094-010-B529</t>
  </si>
  <si>
    <t>Presidential - Option 3</t>
  </si>
  <si>
    <t>Jackson</t>
  </si>
  <si>
    <t>19-094-010-B530</t>
  </si>
  <si>
    <t>Raleigh</t>
  </si>
  <si>
    <t>Raleigh - Option A</t>
  </si>
  <si>
    <t>Jasper</t>
  </si>
  <si>
    <t>18-304-032-B319</t>
  </si>
  <si>
    <t>19-094-017-B570</t>
  </si>
  <si>
    <t>Raleigh - Option B</t>
  </si>
  <si>
    <t>Jefferson</t>
  </si>
  <si>
    <t>19-094-011-B534</t>
  </si>
  <si>
    <t>Raleigh - Option C</t>
  </si>
  <si>
    <t>Jefferson-18-19</t>
  </si>
  <si>
    <t>19-094-011-B535</t>
  </si>
  <si>
    <t>Roslin</t>
  </si>
  <si>
    <t>Roslin - Option A</t>
  </si>
  <si>
    <t>Jim Wells</t>
  </si>
  <si>
    <t>19-094-011-B536</t>
  </si>
  <si>
    <t>Roslin - Option B</t>
  </si>
  <si>
    <t>Jim Wells-18-19</t>
  </si>
  <si>
    <t>19-094-018-B564</t>
  </si>
  <si>
    <t>Roslin - Option C</t>
  </si>
  <si>
    <t>Karnes</t>
  </si>
  <si>
    <t>Sunflower</t>
  </si>
  <si>
    <t>Sunflower - Option 1</t>
  </si>
  <si>
    <t>Kleberg</t>
  </si>
  <si>
    <t>Mitigation</t>
  </si>
  <si>
    <t>Sunflower - Option 2</t>
  </si>
  <si>
    <t>lavaca</t>
  </si>
  <si>
    <t>Sunflower - Option 3</t>
  </si>
  <si>
    <t>Lee</t>
  </si>
  <si>
    <t>Weston</t>
  </si>
  <si>
    <t>Weston - Option A</t>
  </si>
  <si>
    <t>Liberty</t>
  </si>
  <si>
    <t>19-094-001-C559</t>
  </si>
  <si>
    <t>Weston - Option B</t>
  </si>
  <si>
    <t>Liberty-18-19</t>
  </si>
  <si>
    <t>19-094-001-C560</t>
  </si>
  <si>
    <t>Weston - Option C</t>
  </si>
  <si>
    <t>Madison</t>
  </si>
  <si>
    <t>19-094-001-C561</t>
  </si>
  <si>
    <t>Willow</t>
  </si>
  <si>
    <t>Willow - Option 1</t>
  </si>
  <si>
    <t>Matagorda</t>
  </si>
  <si>
    <t>19-094-002-C562</t>
  </si>
  <si>
    <t>Willow - Option 2</t>
  </si>
  <si>
    <t>Milam</t>
  </si>
  <si>
    <t>19-094-014-C577</t>
  </si>
  <si>
    <t>Willow - Option 3</t>
  </si>
  <si>
    <t>Montgomery</t>
  </si>
  <si>
    <t>19-094-006-B563</t>
  </si>
  <si>
    <t>Montgomery-18-19</t>
  </si>
  <si>
    <t>19-094-006-C564</t>
  </si>
  <si>
    <t>Newton</t>
  </si>
  <si>
    <t>19-094-006-C565</t>
  </si>
  <si>
    <t>Nueces</t>
  </si>
  <si>
    <t>19-094-015-C578</t>
  </si>
  <si>
    <t>ICON_3D</t>
  </si>
  <si>
    <t>Orange</t>
  </si>
  <si>
    <t>19-094-007-C566</t>
  </si>
  <si>
    <t>Orange-18-19</t>
  </si>
  <si>
    <t>19-094-007-C567</t>
  </si>
  <si>
    <t>Polk</t>
  </si>
  <si>
    <t>19-094-007-C568</t>
  </si>
  <si>
    <t>Unit2/1-RHP-3D</t>
  </si>
  <si>
    <t>Unit2/1-RHP-3D - Option 1</t>
  </si>
  <si>
    <t>Refugio</t>
  </si>
  <si>
    <t>19-094-016-C579</t>
  </si>
  <si>
    <t>Unit2/1-RHP-3D - Option 2</t>
  </si>
  <si>
    <t>Sabine</t>
  </si>
  <si>
    <t>19-094-008-C569</t>
  </si>
  <si>
    <t>Unit2/1-RHP-3D - Option 3</t>
  </si>
  <si>
    <t>San Augustine</t>
  </si>
  <si>
    <t>19-094-008-C570</t>
  </si>
  <si>
    <t>Unit2/2-RHP-3D</t>
  </si>
  <si>
    <t>Unit2/2-RHP-3D - Option 1</t>
  </si>
  <si>
    <t>San Jacinto</t>
  </si>
  <si>
    <t>19-094-009-C571</t>
  </si>
  <si>
    <t>Unit2/2-RHP-3D - Option 2</t>
  </si>
  <si>
    <t>San Jacinto-18-19</t>
  </si>
  <si>
    <t>19-094-009-C572</t>
  </si>
  <si>
    <t>Unit2/2-RHP-3D - Option 3</t>
  </si>
  <si>
    <t>19-094-009-C573</t>
  </si>
  <si>
    <t>Unit3/2-RHP-3D</t>
  </si>
  <si>
    <t>Unit3/2-RHP-3D - Option 1</t>
  </si>
  <si>
    <t>Tyler</t>
  </si>
  <si>
    <t>19-094-013-C576</t>
  </si>
  <si>
    <t>Unit3/2-RHP-3D - Option 2</t>
  </si>
  <si>
    <t>19-094-010-C574</t>
  </si>
  <si>
    <t>Unit3/2-RHP-3D - Option 3</t>
  </si>
  <si>
    <t>Walker</t>
  </si>
  <si>
    <t>19-094-010-C575</t>
  </si>
  <si>
    <t>Unit4/2-RHP-3D</t>
  </si>
  <si>
    <t>Unit4/2-RHP-3D - Option 1</t>
  </si>
  <si>
    <t>Waller</t>
  </si>
  <si>
    <t>Unit4/2-RHP-3D - Option 2</t>
  </si>
  <si>
    <t>Washington</t>
  </si>
  <si>
    <t>Events_2018_2019</t>
  </si>
  <si>
    <t>Unit4/2-RHP-3D - Option 3</t>
  </si>
  <si>
    <t>Willacy-18-19</t>
  </si>
  <si>
    <t>Wharton</t>
  </si>
  <si>
    <t>19-094-001-C792</t>
  </si>
  <si>
    <t>Brizo_Tilt_Wall</t>
  </si>
  <si>
    <t>If participating in RHP</t>
  </si>
  <si>
    <t>19-094-001-C793</t>
  </si>
  <si>
    <t>19-094-002-C794</t>
  </si>
  <si>
    <t>19-094-014-C795</t>
  </si>
  <si>
    <t>Small2/2-RHP-TiltWall</t>
  </si>
  <si>
    <t>Small2/2-RHP-TiltWall - Option 1</t>
  </si>
  <si>
    <t>19-094-006-C796</t>
  </si>
  <si>
    <t>Small2/2-RHP-TiltWall - Option 2</t>
  </si>
  <si>
    <t>19-094-006-C797</t>
  </si>
  <si>
    <t>Small2/2-RHP-TiltWall - Option 3</t>
  </si>
  <si>
    <t>19-094-015-C798</t>
  </si>
  <si>
    <t>Small3/2-RHP-TiltWall</t>
  </si>
  <si>
    <t>Small3/2-RHP-TiltWall - Option 1</t>
  </si>
  <si>
    <t>19-094-007-C799</t>
  </si>
  <si>
    <t>Small3/2-RHP-TiltWall - Option 2</t>
  </si>
  <si>
    <t>19-094-007-C800</t>
  </si>
  <si>
    <t>Small3/2-RHP-TiltWall - Option 3</t>
  </si>
  <si>
    <t>19-094-016-C801</t>
  </si>
  <si>
    <t>Small4/2-RHP-TiltWall</t>
  </si>
  <si>
    <t>Small4/2-RHP-TiltWall - Option 1</t>
  </si>
  <si>
    <t>19-094-008-C802</t>
  </si>
  <si>
    <t>Small4/2-RHP-TiltWall - Option 2</t>
  </si>
  <si>
    <t>19-094-008-C803</t>
  </si>
  <si>
    <t>Small4/2-RHP-TiltWall - Option 3</t>
  </si>
  <si>
    <t>19-094-009-C804</t>
  </si>
  <si>
    <t>Large2/2-RHP-TiltWall</t>
  </si>
  <si>
    <t>Large2/2-RHP-TiltWall - Option 1</t>
  </si>
  <si>
    <t>19-094-009-C805</t>
  </si>
  <si>
    <t>Large2/2-RHP-TiltWall - Option 2</t>
  </si>
  <si>
    <t>19-094-013-C806</t>
  </si>
  <si>
    <t>Large2/2-RHP-TiltWall - Option 3</t>
  </si>
  <si>
    <t>19-094-010-C807</t>
  </si>
  <si>
    <t>Large3/2-RHP-TiltWall</t>
  </si>
  <si>
    <t>Large3/2-RHP-TiltWall - Option 1</t>
  </si>
  <si>
    <t>Large3/2-RHP-TiltWall - Option 2</t>
  </si>
  <si>
    <t>RHP</t>
  </si>
  <si>
    <t>Large3/2-RHP-TiltWall - Option 3</t>
  </si>
  <si>
    <t>Large4/2-RHP-TiltWall</t>
  </si>
  <si>
    <t>Large4/2-RHP-TiltWall - Option 1</t>
  </si>
  <si>
    <t>Large4/2-RHP-TiltWall - Option 2</t>
  </si>
  <si>
    <t>21-084-001-C755</t>
  </si>
  <si>
    <t>Large4/2-RHP-TiltWall - Option 3</t>
  </si>
  <si>
    <t>DSW_Steel_Frame</t>
  </si>
  <si>
    <t>JW_Turner_Resil_Struct</t>
  </si>
  <si>
    <t>21-078-001-C753</t>
  </si>
  <si>
    <t>JW_Turner_Resil_Wood</t>
  </si>
  <si>
    <t>21-086-001-C751</t>
  </si>
  <si>
    <t>Brownsville-A-RHP-SteelFrame</t>
  </si>
  <si>
    <t>Brownsville-A-RHP-SteelFrame - Option 1</t>
  </si>
  <si>
    <t>Brownsville-A-RHP-SteelFrame - Option 2</t>
  </si>
  <si>
    <t>Brownsville-A-RHP-SteelFrame - Option 3</t>
  </si>
  <si>
    <t>21-088-001-C748</t>
  </si>
  <si>
    <t>Brownsville-B-RHP-SteelFrame</t>
  </si>
  <si>
    <t>Brownsville-B-RHP-SteelFrame - Option 1</t>
  </si>
  <si>
    <t>Brownsville-B-RHP-SteelFrame - Option 2</t>
  </si>
  <si>
    <t>Brownsville-B-RHP-SteelFrame - Option 3</t>
  </si>
  <si>
    <t>21-076-001-C743</t>
  </si>
  <si>
    <t>Brownsville-C-RHP-SteelFrame</t>
  </si>
  <si>
    <t>Brownsville-C-RHP-SteelFrame - Option 1</t>
  </si>
  <si>
    <t>Brownsville-C-RHP-SteelFrame - Option 2</t>
  </si>
  <si>
    <t>Brownsville-C-RHP-SteelFrame - Option 3</t>
  </si>
  <si>
    <t>El-Ranchero-A-RHP-SteelFrame</t>
  </si>
  <si>
    <t>El-Ranchero-A-RHP-SteelFrame - Option 1</t>
  </si>
  <si>
    <t>El-Ranchero-A-RHP-SteelFrame - Option 2</t>
  </si>
  <si>
    <t>El-Ranchero-A-RHP-SteelFrame - Option 3</t>
  </si>
  <si>
    <t>El-Ranchero-B-RHP-SteelFrame</t>
  </si>
  <si>
    <t>El-Ranchero-B-RHP-SteelFrame - Option 1</t>
  </si>
  <si>
    <t>El-Ranchero-B-RHP-SteelFrame - Option 2</t>
  </si>
  <si>
    <t>El-Ranchero-B-RHP-SteelFrame - Option 3</t>
  </si>
  <si>
    <t>El-Ranchero-C-RHP-SteelFrame</t>
  </si>
  <si>
    <t>El-Ranchero-C-RHP-SteelFrame - Option 1</t>
  </si>
  <si>
    <t>El-Ranchero-C-RHP-SteelFrame - Option 2</t>
  </si>
  <si>
    <t>El-Ranchero-C-RHP-SteelFrame - Option 3</t>
  </si>
  <si>
    <t>Franklin-A-RHP-SteelFrame</t>
  </si>
  <si>
    <t>Franklin-A-RHP-SteelFrame - Option 1</t>
  </si>
  <si>
    <t>Franklin-A-RHP-SteelFrame - Option 2</t>
  </si>
  <si>
    <t>Franklin-A-RHP-SteelFrame - Option 3</t>
  </si>
  <si>
    <t>Franklin-B-RHP-SteelFrame</t>
  </si>
  <si>
    <t>Franklin-B-RHP-SteelFrame - Option 1</t>
  </si>
  <si>
    <t>Franklin-B-RHP-SteelFrame - Option 2</t>
  </si>
  <si>
    <t>Franklin-B-RHP-SteelFrame - Option 3</t>
  </si>
  <si>
    <t>Franklin-C-RHP-SteelFrame</t>
  </si>
  <si>
    <t>Franklin-C-RHP-SteelFrame - Option 1</t>
  </si>
  <si>
    <t>Franklin-C-RHP-SteelFrame - Option 2</t>
  </si>
  <si>
    <t>Franklin-C-RHP-SteelFrame - Option 3</t>
  </si>
  <si>
    <t>Lariat-A-RHP-SteelFrame</t>
  </si>
  <si>
    <t>Lariat-A-RHP-SteelFrame - Option 1</t>
  </si>
  <si>
    <t>Lariat-A-RHP-SteelFrame - Option 2</t>
  </si>
  <si>
    <t>Lariat-A-RHP-SteelFrame - Option 3</t>
  </si>
  <si>
    <t>Lariat-B-RHP-SteelFrame</t>
  </si>
  <si>
    <t>Lariat-B-RHP-SteelFrame - Option 1</t>
  </si>
  <si>
    <t>Lariat-B-RHP-SteelFrame - Option 2</t>
  </si>
  <si>
    <t>Lariat-B-RHP-SteelFrame - Option 3</t>
  </si>
  <si>
    <t>Lariat-C-RHP-SteelFrame</t>
  </si>
  <si>
    <t>Lariat-C-RHP-SteelFrame - Option 1</t>
  </si>
  <si>
    <t>Lariat-C-RHP-SteelFrame - Option 2</t>
  </si>
  <si>
    <t>Lariat-C-RHP-SteelFrame - Option 3</t>
  </si>
  <si>
    <t>MardiGras-A-RHP-SteelFrame</t>
  </si>
  <si>
    <t>MardiGras-A-RHP-SteelFrame - Option 1</t>
  </si>
  <si>
    <t>MardiGras-A-RHP-SteelFrame - Option 2</t>
  </si>
  <si>
    <t>MardiGras-A-RHP-SteelFrame - Option 3</t>
  </si>
  <si>
    <t>MardiGras-B-RHP-SteelFrame</t>
  </si>
  <si>
    <t>MardiGras-B-RHP-SteelFrame - Option 1</t>
  </si>
  <si>
    <t>MardiGras-B-RHP-SteelFrame - Option 2</t>
  </si>
  <si>
    <t>MardiGras-B-RHP-SteelFrame - Option 3</t>
  </si>
  <si>
    <t>MardiGras-C-RHP-SteelFrame</t>
  </si>
  <si>
    <t>MardiGras-C-RHP-SteelFrame - Option 1</t>
  </si>
  <si>
    <t>MardiGras-C-RHP-SteelFrame - Option 2</t>
  </si>
  <si>
    <t>MardiGras-C-RHP-SteelFrame - Option 3</t>
  </si>
  <si>
    <t>RioGrande-A-RHP-SteelFrame</t>
  </si>
  <si>
    <t>RioGrande-A-RHP-SteelFrame - Option 1</t>
  </si>
  <si>
    <t>RioGrande-A-RHP-SteelFrame - Option 2</t>
  </si>
  <si>
    <t>RioGrande-A-RHP-SteelFrame - Option 3</t>
  </si>
  <si>
    <t>RioGrande-B-RHP-SteelFrame</t>
  </si>
  <si>
    <t>RioGrande-B-RHP-SteelFrame - Option 1</t>
  </si>
  <si>
    <t>RioGrande-B-RHP-SteelFrame - Option 2</t>
  </si>
  <si>
    <t>RioGrande-B-RHP-SteelFrame - Option 3</t>
  </si>
  <si>
    <t>RioGrande-C-RHP-SteelFrame</t>
  </si>
  <si>
    <t>RioGrande-C-RHP-SteelFrame - Option 1</t>
  </si>
  <si>
    <t>RioGrande-C-RHP-SteelFrame - Option 2</t>
  </si>
  <si>
    <t>RioGrande-C-RHP-SteelFrame - Option 3</t>
  </si>
  <si>
    <t>Augustine-RHP-Resil-Struct</t>
  </si>
  <si>
    <t>Augustine-RHP-Resil-Struct - Option 1</t>
  </si>
  <si>
    <t>Augustine-RHP-Resil-Struct - Option 2</t>
  </si>
  <si>
    <t>Augustine-RHP-Resil-Struct - Option 3</t>
  </si>
  <si>
    <t>Bonsai-RHP-Resil-Struct</t>
  </si>
  <si>
    <t>Bonsai-RHP-Resil-Struct - Option 1</t>
  </si>
  <si>
    <t>Bonsai-RHP-Resil-Struct - Option 2</t>
  </si>
  <si>
    <t>Bonsai-RHP-Resil-Struct - Option 3</t>
  </si>
  <si>
    <t>Magnolia-RHP-Resil-Struct</t>
  </si>
  <si>
    <t>Magnolia-RHP-Resil-Struct - Option 1</t>
  </si>
  <si>
    <t>Magnolia-RHP-Resil-Struct - Option 2</t>
  </si>
  <si>
    <t>Magnolia-RHP-Resil-Struct - Option 3</t>
  </si>
  <si>
    <t>Roslin-RHP-Resil-Struct</t>
  </si>
  <si>
    <t>Roslin-RHP-Resil-Struct - Option 1</t>
  </si>
  <si>
    <t>Roslin-RHP-Resil-Struct - Option 2</t>
  </si>
  <si>
    <t>Roslin-RHP-Resil-Struct - Option 3</t>
  </si>
  <si>
    <t>Sunflower-RHP-Resil-Struct</t>
  </si>
  <si>
    <t>Sunflower-RHP-Resil-Struct - Option 1</t>
  </si>
  <si>
    <t>Sunflower-RHP-Resil-Struct - Option 2</t>
  </si>
  <si>
    <t>Sunflower-RHP-Resil-Struct - Option 3</t>
  </si>
  <si>
    <t>Willow-RHP-Resil-Struct</t>
  </si>
  <si>
    <t>Willow-RHP-Resil-Struct - Option 1</t>
  </si>
  <si>
    <t>Willow-RHP-Resil-Struct - Option 2</t>
  </si>
  <si>
    <t>Willow-RHP-Resil-Struct - Option 3</t>
  </si>
  <si>
    <t>Augustine-RHP-Resil-Wood</t>
  </si>
  <si>
    <t>Augustine-RHP-Resil-Wood - Option 1</t>
  </si>
  <si>
    <t>Augustine-RHP-Resil-Wood - Option 2</t>
  </si>
  <si>
    <t>Augustine-RHP-Resil-Wood - Option 3</t>
  </si>
  <si>
    <t>Bonsai-RHP-Resil-Wood</t>
  </si>
  <si>
    <t>Bonsai-RHP-Resil-Wood - Option 1</t>
  </si>
  <si>
    <t>Bonsai-RHP-Resil-Wood - Option 2</t>
  </si>
  <si>
    <t>Bonsai-RHP-Resil-Wood - Option 3</t>
  </si>
  <si>
    <t>Magnolia-RHP-Resil-Wood</t>
  </si>
  <si>
    <t>Magnolia-RHP-Resil-Wood - Option 1</t>
  </si>
  <si>
    <t>Magnolia-RHP-Resil-Wood - Option 2</t>
  </si>
  <si>
    <t>Magnolia-RHP-Resil-Wood - Option 3</t>
  </si>
  <si>
    <t>Roslin-RHP-Resil-Wood</t>
  </si>
  <si>
    <t>Roslin-RHP-Resil-Wood - Option 1</t>
  </si>
  <si>
    <t>Roslin-RHP-Resil-Wood - Option 2</t>
  </si>
  <si>
    <t>Roslin-RHP-Resil-Wood - Option 3</t>
  </si>
  <si>
    <t>Sunflower-RHP-Resil-Wood</t>
  </si>
  <si>
    <t>Sunflower-RHP-Resil-Wood - Option 1</t>
  </si>
  <si>
    <t>Sunflower-RHP-Resil-Wood - Option 2</t>
  </si>
  <si>
    <t>Sunflower-RHP-Resil-Wood - Option 3</t>
  </si>
  <si>
    <t>Willow-RHP-Resil-Wood</t>
  </si>
  <si>
    <t>Willow-RHP-Resil-Wood - Option 1</t>
  </si>
  <si>
    <t>Willow-RHP-Resil-Wood - Option 2</t>
  </si>
  <si>
    <t>Willow-RHP-Resil-Wood - Option 3</t>
  </si>
  <si>
    <t>changed on 2/15 as per executed Amendment for 21-084-001-C755</t>
  </si>
  <si>
    <t>When the prices change, just copy and paste persqft values into above table - MAKE SURE THAT PLANS ARE IN THE SAME ORDER. Can delete this table once prices are updated, but do not delete rows as that will affect county lookup.</t>
  </si>
  <si>
    <t>Harvey SF - ORIGINAL</t>
  </si>
  <si>
    <t>Category</t>
  </si>
  <si>
    <t>Item</t>
  </si>
  <si>
    <t>RangeAvg</t>
  </si>
  <si>
    <t>CostPerUnit</t>
  </si>
  <si>
    <t>Total Cost</t>
  </si>
  <si>
    <t>Notes</t>
  </si>
  <si>
    <t>Site Prep</t>
  </si>
  <si>
    <t>Tree trim</t>
  </si>
  <si>
    <t>X</t>
  </si>
  <si>
    <t>Trees</t>
  </si>
  <si>
    <t>Stump grinding</t>
  </si>
  <si>
    <t>Stumps</t>
  </si>
  <si>
    <t>Stump removal</t>
  </si>
  <si>
    <t>Sewer or water line to home</t>
  </si>
  <si>
    <t>LF</t>
  </si>
  <si>
    <t>60 LF included in comp price</t>
  </si>
  <si>
    <t>Gas line</t>
  </si>
  <si>
    <t>Underground electric</t>
  </si>
  <si>
    <t>Stairs for elevated homes</t>
  </si>
  <si>
    <t>VF</t>
  </si>
  <si>
    <t>Only for homes elevated over 3', included per email from KS</t>
  </si>
  <si>
    <t>Tree removal: 2 - 10 in</t>
  </si>
  <si>
    <t>Tree removal - Cost of $90 per 1" of tree (applied in column F)</t>
  </si>
  <si>
    <t>Tree removal: 11 - 15 in</t>
  </si>
  <si>
    <t>Tree removal: 16 - 20 in</t>
  </si>
  <si>
    <t>Tree removal: 21 - 25 in</t>
  </si>
  <si>
    <t>Tree removal: 26 - 30 in</t>
  </si>
  <si>
    <t>Tree removal: 31 - 36 in</t>
  </si>
  <si>
    <t>Culvert concrete: 12 in</t>
  </si>
  <si>
    <t>Culvert concrete: 15 in</t>
  </si>
  <si>
    <t>Culvert concrete: 16 in</t>
  </si>
  <si>
    <t>Culvert concrete: 18 in</t>
  </si>
  <si>
    <t>unit cost is avg of 16" and 20"</t>
  </si>
  <si>
    <t>Culvert concrete: 20 in</t>
  </si>
  <si>
    <t>Culvert concrete: 24 in</t>
  </si>
  <si>
    <t>Fill dirt: 5 - 15 CY</t>
  </si>
  <si>
    <t>CY</t>
  </si>
  <si>
    <t>Fill dirt: 16 - 25 CY</t>
  </si>
  <si>
    <t>Fill dirt: 26 - 35 CY</t>
  </si>
  <si>
    <t>Fill dirt: 36 - 45 CY</t>
  </si>
  <si>
    <t>Fill dirt: 46 - 60 CY</t>
  </si>
  <si>
    <t>Fill dirt: 61 - 80 CY</t>
  </si>
  <si>
    <t>Caliche or crush concrete: 5 - 15 CY</t>
  </si>
  <si>
    <t>Caliche or crush concrete: 16 - 25 CY</t>
  </si>
  <si>
    <t>Caliche or crush concrete: 26 - 35 CY</t>
  </si>
  <si>
    <t>Caliche or crush concrete: 36 - 45 CY</t>
  </si>
  <si>
    <t>Concrete flat work: 50 - 100 sq ft</t>
  </si>
  <si>
    <t>SF</t>
  </si>
  <si>
    <t>Concrete flat work: 101 - 200 sq ft</t>
  </si>
  <si>
    <t>Concrete flat work: 201 - 300 sq ft</t>
  </si>
  <si>
    <t>Concrete flat work: 301 - 400 sq ft</t>
  </si>
  <si>
    <t>Concrete flat work: 401 - 500 sq ft</t>
  </si>
  <si>
    <t>Concrete flat work: 501 - 600 sq ft</t>
  </si>
  <si>
    <t>Concrete flat work: 601 - 700 sq ft</t>
  </si>
  <si>
    <t>Concrete flat work: 701 - 800 sq ft</t>
  </si>
  <si>
    <t>Coastal: Less than 3'</t>
  </si>
  <si>
    <t>elevation by fill</t>
  </si>
  <si>
    <t>Coastal: 3 ft - 3.9 ft</t>
  </si>
  <si>
    <t>Coastal: Less than 3 ft</t>
  </si>
  <si>
    <t>Coastal: 3' - 3.9'</t>
  </si>
  <si>
    <t>from supplement</t>
  </si>
  <si>
    <t>Coastal: 4 ft - 4.9 ft</t>
  </si>
  <si>
    <t>Coastal: 3 ft - 3 ft 11 in</t>
  </si>
  <si>
    <t>Coastal: 4' - 4.9'</t>
  </si>
  <si>
    <t>Coastal: 5 ft - 5.9 ft</t>
  </si>
  <si>
    <t>Coastal: 4 ft - 4 ft 11 in</t>
  </si>
  <si>
    <t>Coastal: 5' - 5.9'</t>
  </si>
  <si>
    <t>Coastal: 6 ft - 6.9 ft</t>
  </si>
  <si>
    <t>Coastal: 5 ft - 5 ft 11 in</t>
  </si>
  <si>
    <t>Coastal: 6' - 6.9'</t>
  </si>
  <si>
    <t>Coastal: 7 ft - 7.9 ft</t>
  </si>
  <si>
    <t>Coastal: 6 ft - 6 ft 11 in</t>
  </si>
  <si>
    <t>Coastal: 7' - 7.9'</t>
  </si>
  <si>
    <t>Coastal: 8 ft - 8.9 ft</t>
  </si>
  <si>
    <t>Coastal: 7 ft - 7 ft 11 in</t>
  </si>
  <si>
    <t>Coastal: 8' - 8.9'</t>
  </si>
  <si>
    <t>avg of supplement</t>
  </si>
  <si>
    <t>Coastal: 9 ft - 9.9 ft</t>
  </si>
  <si>
    <t>Coastal: 8 ft - 8 ft 11 in</t>
  </si>
  <si>
    <t>Coastal: 9' - 9.9'</t>
  </si>
  <si>
    <t>Coastal: 10 ft - 10.9 ft</t>
  </si>
  <si>
    <t>Coastal: 9 ft - 9 ft 11 in</t>
  </si>
  <si>
    <t>Coastal: 10' - 10.9'</t>
  </si>
  <si>
    <t>Coastal: 11 ft - 11.9 ft</t>
  </si>
  <si>
    <t>Coastal: 10 ft - 10 ft 11 in</t>
  </si>
  <si>
    <t>Non-Coastal: Less than 3'</t>
  </si>
  <si>
    <t>Non-Coastal: 3 ft - 3.9 ft</t>
  </si>
  <si>
    <t>Non-Coastal: Less than 3 ft</t>
  </si>
  <si>
    <t>Non-Coastal: 3' - 3.9'</t>
  </si>
  <si>
    <t>Non-Coastal: 4 ft - 4.9 ft</t>
  </si>
  <si>
    <t>Non-Coastal: 3 ft - 3 ft 11 in</t>
  </si>
  <si>
    <t>Non-Coastal: 4' - 4.9'</t>
  </si>
  <si>
    <t>Non-Coastal: 5 ft - 5.9 ft</t>
  </si>
  <si>
    <t>Non-Coastal: 4 ft - 4 ft 11 in</t>
  </si>
  <si>
    <t>Non-Coastal: 5' - 5.9'</t>
  </si>
  <si>
    <t>Non-Coastal: 6 ft - 6.9 ft</t>
  </si>
  <si>
    <t>Non-Coastal: 5 ft - 5 ft 11 in</t>
  </si>
  <si>
    <t>Non-Coastal: 6' - 6.9'</t>
  </si>
  <si>
    <t>Non-Coastal: 7 ft - 7.9 ft</t>
  </si>
  <si>
    <t>Non-Coastal: 6 ft - 6 ft 11 in</t>
  </si>
  <si>
    <t>Non-Coastal: 7' - 7.9'</t>
  </si>
  <si>
    <t>Non-Coastal: 8 ft - 8.9 ft</t>
  </si>
  <si>
    <t>Non-Coastal: 7 ft - 7 ft 11 in</t>
  </si>
  <si>
    <t>Non-Coastal: 8' - 8.9'</t>
  </si>
  <si>
    <t>Non-Coastal: 9 ft - 9.9 ft</t>
  </si>
  <si>
    <t>Non-Coastal: 8 ft - 8 ft 11 in</t>
  </si>
  <si>
    <t>Non-Coastal: 9' - 9.9'</t>
  </si>
  <si>
    <t>Non-Coastal: 10 ft - 10.9 ft</t>
  </si>
  <si>
    <t>Non-Coastal: 9 ft - 9 ft 11 in</t>
  </si>
  <si>
    <t>Non-Coastal: 10' - 10.9'</t>
  </si>
  <si>
    <t>Non-Coastal: 11 ft - 11.9 ft</t>
  </si>
  <si>
    <t>Non-Coastal: 10 ft - 10 ft 11 in</t>
  </si>
  <si>
    <t>Demo</t>
  </si>
  <si>
    <t>Detached garage</t>
  </si>
  <si>
    <t>Fence removal</t>
  </si>
  <si>
    <t>House demo: 500 - 1000 sq ft</t>
  </si>
  <si>
    <t>old pricing was flat at all sizes ($11/SF), new pricing scheme follows ICF % drops every 1000 SF. Reduced price only applied to amnts above previous ranges.</t>
  </si>
  <si>
    <t>House demo: 1001 - 1500 sq ft</t>
  </si>
  <si>
    <t>House demo: 1501 - 2000 sq ft</t>
  </si>
  <si>
    <t>House demo: 2001 - 2500 sq ft</t>
  </si>
  <si>
    <t>House demo: 2501 - 3000 sq ft</t>
  </si>
  <si>
    <t>Shed or carport: 10 - 200 sq ft</t>
  </si>
  <si>
    <t>Shed or carport: 201 - 400 sq ft</t>
  </si>
  <si>
    <t>Shed or carport: 401 - 600 sq ft</t>
  </si>
  <si>
    <t>Shed or carport: 601 - 800 sq ft</t>
  </si>
  <si>
    <t>Shed or carport: 801 - 1000 sq ft</t>
  </si>
  <si>
    <t>Concrete flat work: 10 - 200 sq ft</t>
  </si>
  <si>
    <t>Concrete flat work: 201 - 400 sq ft</t>
  </si>
  <si>
    <t>Concrete flat work: 401 - 600 sq ft</t>
  </si>
  <si>
    <t>Concrete flat work: 601 - 800 sq ft</t>
  </si>
  <si>
    <t>Concrete flat work: 801 - 1000 sq ft</t>
  </si>
  <si>
    <t>Concrete flat work: 1001 - 1500 sq ft</t>
  </si>
  <si>
    <t>Concrete flat work: 1501 - 2000 sq ft</t>
  </si>
  <si>
    <t>Concrete flat work: 2001 - 2500 sq ft</t>
  </si>
  <si>
    <t>Wooden deck: 10 - 200 sq ft</t>
  </si>
  <si>
    <t>Wooden deck: 201 - 400 sq ft</t>
  </si>
  <si>
    <t>Wooden deck: 401 - 600 sq ft</t>
  </si>
  <si>
    <t>Wooden deck: 601 - 800 sq ft</t>
  </si>
  <si>
    <t>Wooden deck: 801 - 1000 sq ft</t>
  </si>
  <si>
    <t>Wooden deck: 1001 - 1500 sq ft</t>
  </si>
  <si>
    <t>Wooden deck: 1501 - 2000 sq ft</t>
  </si>
  <si>
    <t>Wooden deck: 2001 - 2500 sq ft</t>
  </si>
  <si>
    <t>HC2 - ADA grab bars</t>
  </si>
  <si>
    <t>Bar</t>
  </si>
  <si>
    <t>Need to describe grab bar location</t>
  </si>
  <si>
    <t>HC3 tub</t>
  </si>
  <si>
    <t>Tub</t>
  </si>
  <si>
    <t>Deduction for tub included</t>
  </si>
  <si>
    <t>HC4 shower</t>
  </si>
  <si>
    <t>Shower</t>
  </si>
  <si>
    <t>Vinyl flooring in lieu of carpet</t>
  </si>
  <si>
    <t>ADA strobe smoke alarms</t>
  </si>
  <si>
    <t>Alarms</t>
  </si>
  <si>
    <t>Deduction included in supplement price</t>
  </si>
  <si>
    <t>ADA doorbell</t>
  </si>
  <si>
    <t>Doorbell</t>
  </si>
  <si>
    <t>Deduction included in price. Per KS 9/22: the hardwire tie in ADA strobe door bell is $110, regular door bell is $30. net price would be $70-80</t>
  </si>
  <si>
    <t>Lift</t>
  </si>
  <si>
    <t xml:space="preserve">Vertical Platform Lift 0 - 4' </t>
  </si>
  <si>
    <t>Vertical Platform Lift 4 - 8'</t>
  </si>
  <si>
    <t>Vertical Platform Lift 8 - 12'</t>
  </si>
  <si>
    <t>Code</t>
  </si>
  <si>
    <t>City Code Requirement: Garage</t>
  </si>
  <si>
    <t>City Code Requirement: Shed</t>
  </si>
  <si>
    <t>City Code Requirement: Brick siding with reduction</t>
  </si>
  <si>
    <t>deduct $3/sqft from total cost for hardi plank on 11.17, removed $3 deduction and added new Code name</t>
  </si>
  <si>
    <t>City Code Requirement: Brick Skirting</t>
  </si>
  <si>
    <t>Added new code for Brick skirting at $10.50/sf</t>
  </si>
  <si>
    <t>City Code Requirement: Sod (Pallets)</t>
  </si>
  <si>
    <t>Pallets</t>
  </si>
  <si>
    <t>supplement 450, reduced per convo 9/18</t>
  </si>
  <si>
    <t>City Code Requirement: Sod (SF)</t>
  </si>
  <si>
    <t>Added per coordination with Houston/Harris County team 9/15/2022</t>
  </si>
  <si>
    <t>City Code Requirement: Stucco with reduction</t>
  </si>
  <si>
    <t>Added new code for Stucoo at $5/sf</t>
  </si>
  <si>
    <t>City Code Requirement: Stucco Skirting</t>
  </si>
  <si>
    <t>Added new code for Stucco skirting at $8/sf</t>
  </si>
  <si>
    <t>City Code Requirement: Hardi Plank skirting</t>
  </si>
  <si>
    <t>City Code Requirement: Flat work: 50 - 100 sq ft</t>
  </si>
  <si>
    <t>City Code Requirement: Flat work: 101 - 200 sq ft</t>
  </si>
  <si>
    <t>City Code Requirement: Flat work: 201 - 300 sq ft</t>
  </si>
  <si>
    <t>City Code Requirement: Flat work: 301 - 400 sq ft</t>
  </si>
  <si>
    <t>City Code Requirement: Flat work: 401 - 500 sq ft</t>
  </si>
  <si>
    <t>City Code Requirement: Flat work: 501 - 600 sq ft</t>
  </si>
  <si>
    <t>City Code Requirement: Flat work: 601 - 700 sq ft</t>
  </si>
  <si>
    <t>City Code Requirement: Flat work: 701 - 800 sq ft</t>
  </si>
  <si>
    <t>City Code Requirement: Skirting Accomodations</t>
  </si>
  <si>
    <t>HOA Code Requirement: Skirting Accomodations</t>
  </si>
  <si>
    <t>HOA Code Requirement: Garage</t>
  </si>
  <si>
    <t>HOA Code Requirement: Brick siding with reduction</t>
  </si>
  <si>
    <t>HOA Code Requirement: Brick skirting</t>
  </si>
  <si>
    <t>HOA Code Requirement: Sod (Pallets)</t>
  </si>
  <si>
    <t>HOA Code Requirement: Sod (SF)</t>
  </si>
  <si>
    <t>HOA Code Requirement: Stucco with reduction</t>
  </si>
  <si>
    <t>HOA Code Requirement: Stucco Skirting</t>
  </si>
  <si>
    <t>HOA Code Requirement: Hardi Plank skirting</t>
  </si>
  <si>
    <t>HOA Code Requirement: Flat work: 50 - 100 sq ft</t>
  </si>
  <si>
    <t>HOA Code Requirement: Flat work: 101 - 200 sq ft</t>
  </si>
  <si>
    <t>HOA Code Requirement: Flat work: 201 - 300 sq ft</t>
  </si>
  <si>
    <t>HOA Code Requirement: Flat work: 301 - 400 sq ft</t>
  </si>
  <si>
    <t>HOA Code Requirement: Flat work: 401 - 500 sq ft</t>
  </si>
  <si>
    <t>HOA Code Requirement: Flat work: 501 - 600 sq ft</t>
  </si>
  <si>
    <t>HOA Code Requirement: Flat work: 601 - 700 sq ft</t>
  </si>
  <si>
    <t>HOA Code Requirement: Flat work: 701 - 800 sq ft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</si>
</sst>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43" formatCode="_(* #,##0.00_);_(* \(#,##0.00\);_(* &quot;-&quot;??_);_(@_)"/>
    <numFmt numFmtId="164" formatCode="\$0.00"/>
    <numFmt numFmtId="165" formatCode="\$#,##0.00"/>
    <numFmt numFmtId="166" formatCode="_(* #,##0_);_(* \(#,##0\);_(* &quot;-&quot;??_);_(@_)"/>
    <numFmt numFmtId="167" formatCode="0.0"/>
  </numFmts>
  <fonts count="34">
    <font>
      <sz val="10"/>
      <color rgb="FF000000"/>
      <name val="Times New Roman"/>
      <charset val="204"/>
    </font>
    <font>
      <sz val="8"/>
      <color rgb="FF000000"/>
      <name val="Calibri"/>
      <family val="2"/>
      <scheme val="minor"/>
    </font>
    <font>
      <sz val="10"/>
      <color rgb="FF000000"/>
      <name val="Times New Roman"/>
      <family val="1"/>
    </font>
    <font>
      <sz val="10"/>
      <color rgb="FF000000"/>
      <name val="Times New Roman"/>
      <family val="1"/>
    </font>
    <font>
      <sz val="10"/>
      <color rgb="FF000000"/>
      <name val="Calibri"/>
      <family val="2"/>
      <scheme val="minor"/>
    </font>
    <font>
      <b/>
      <sz val="10"/>
      <name val="Calibri"/>
      <family val="2"/>
      <scheme val="minor"/>
    </font>
    <font>
      <b/>
      <sz val="10"/>
      <color rgb="FFFFFFFF"/>
      <name val="Calibri"/>
      <family val="2"/>
      <scheme val="minor"/>
    </font>
    <font>
      <sz val="10"/>
      <name val="Calibri"/>
      <family val="2"/>
      <scheme val="minor"/>
    </font>
    <font>
      <sz val="9"/>
      <name val="Calibri"/>
      <family val="2"/>
      <scheme val="minor"/>
    </font>
    <font>
      <sz val="9"/>
      <color rgb="FF000000"/>
      <name val="Calibri"/>
      <family val="2"/>
      <scheme val="minor"/>
    </font>
    <font>
      <sz val="10"/>
      <color rgb="FF000000"/>
      <name val="Times New Roman"/>
      <family val="1"/>
    </font>
    <font>
      <b/>
      <sz val="10"/>
      <color rgb="FF000000"/>
      <name val="Calibri"/>
      <family val="2"/>
      <scheme val="minor"/>
    </font>
    <font>
      <b/>
      <sz val="14"/>
      <color rgb="FF000000"/>
      <name val="Calibri"/>
      <family val="2"/>
      <scheme val="minor"/>
    </font>
    <font>
      <b/>
      <sz val="9"/>
      <name val="Calibri"/>
      <family val="2"/>
      <scheme val="minor"/>
    </font>
    <font>
      <b/>
      <i/>
      <sz val="10"/>
      <color rgb="FF000000"/>
      <name val="Calibri"/>
      <family val="2"/>
    </font>
    <font>
      <i/>
      <sz val="10"/>
      <color rgb="FF000000"/>
      <name val="Calibri"/>
      <family val="2"/>
    </font>
    <font>
      <b/>
      <sz val="10"/>
      <color rgb="FF000000"/>
      <name val="Times New Roman"/>
      <family val="1"/>
    </font>
    <font>
      <b/>
      <sz val="11"/>
      <name val="Calibri"/>
      <family val="2"/>
      <scheme val="minor"/>
    </font>
    <font>
      <b/>
      <sz val="9"/>
      <color rgb="FF000000"/>
      <name val="Calibri"/>
      <family val="2"/>
      <scheme val="minor"/>
    </font>
    <font>
      <b/>
      <sz val="11"/>
      <color rgb="FF000000"/>
      <name val="Calibri"/>
      <family val="2"/>
      <scheme val="minor"/>
    </font>
    <font>
      <sz val="11"/>
      <color rgb="FF000000"/>
      <name val="Calibri"/>
      <family val="2"/>
      <scheme val="minor"/>
    </font>
    <font>
      <sz val="11"/>
      <color rgb="FF000000"/>
      <name val="Times New Roman"/>
      <family val="1"/>
    </font>
    <font>
      <b/>
      <sz val="11"/>
      <color rgb="FF000000"/>
      <name val="Times New Roman"/>
      <family val="1"/>
    </font>
    <font>
      <sz val="8"/>
      <name val="Times New Roman"/>
      <family val="1"/>
    </font>
    <font>
      <i/>
      <sz val="9"/>
      <color rgb="FF000000"/>
      <name val="Calibri"/>
      <family val="2"/>
      <scheme val="minor"/>
    </font>
    <font>
      <i/>
      <sz val="10"/>
      <name val="Calibri"/>
      <family val="2"/>
      <scheme val="minor"/>
    </font>
    <font>
      <i/>
      <sz val="10"/>
      <color rgb="FF000000"/>
      <name val="Calibri"/>
      <family val="2"/>
      <scheme val="minor"/>
    </font>
    <font>
      <sz val="9"/>
      <color rgb="FF000000"/>
      <name val="Times New Roman"/>
      <family val="1"/>
    </font>
    <font>
      <b/>
      <sz val="9"/>
      <color rgb="FFFFFFFF"/>
      <name val="Calibri"/>
      <family val="2"/>
      <scheme val="minor"/>
    </font>
    <font>
      <b/>
      <sz val="14"/>
      <name val="Calibri"/>
      <family val="2"/>
    </font>
    <font>
      <sz val="8"/>
      <name val="Calibri"/>
      <family val="2"/>
      <scheme val="minor"/>
    </font>
    <font>
      <b/>
      <i/>
      <sz val="9"/>
      <color rgb="FF000000"/>
      <name val="Calibri"/>
      <family val="2"/>
    </font>
    <font>
      <i/>
      <sz val="9"/>
      <color rgb="FF000000"/>
      <name val="Calibri"/>
      <family val="2"/>
    </font>
    <font>
      <b/>
      <sz val="11"/>
      <name val="Calibri"/>
      <family val="2"/>
    </font>
  </fonts>
  <fills count="16">
    <fill>
      <patternFill patternType="none"/>
    </fill>
    <fill>
      <patternFill patternType="gray125"/>
    </fill>
    <fill>
      <patternFill patternType="solid">
        <fgColor rgb="FFC9DCFA"/>
      </patternFill>
    </fill>
    <fill>
      <patternFill patternType="solid">
        <fgColor rgb="FFFFFFC4"/>
      </patternFill>
    </fill>
    <fill>
      <patternFill patternType="solid">
        <fgColor rgb="FFB8ADF8"/>
      </patternFill>
    </fill>
    <fill>
      <patternFill patternType="solid">
        <fgColor rgb="FFFBEDD5"/>
      </patternFill>
    </fill>
    <fill>
      <patternFill patternType="solid">
        <fgColor rgb="FFB7ADF8"/>
      </patternFill>
    </fill>
    <fill>
      <patternFill patternType="solid">
        <fgColor rgb="FFFFFFCC"/>
      </patternFill>
    </fill>
    <fill>
      <patternFill patternType="solid">
        <fgColor theme="0" tint="-0.14999847407452621"/>
        <bgColor indexed="64"/>
      </patternFill>
    </fill>
    <fill>
      <patternFill patternType="solid">
        <fgColor theme="4" tint="0.59999389629810485"/>
        <bgColor indexed="64"/>
      </patternFill>
    </fill>
    <fill>
      <patternFill patternType="solid">
        <fgColor theme="7" tint="0.79998168889431442"/>
        <bgColor indexed="64"/>
      </patternFill>
    </fill>
    <fill>
      <patternFill patternType="solid">
        <fgColor rgb="FFC9DBFA"/>
        <bgColor indexed="64"/>
      </patternFill>
    </fill>
    <fill>
      <patternFill patternType="solid">
        <fgColor theme="0"/>
        <bgColor indexed="64"/>
      </patternFill>
    </fill>
    <fill>
      <patternFill patternType="solid">
        <fgColor theme="0" tint="-0.14996795556505021"/>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s>
  <borders count="5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B2B2B2"/>
      </left>
      <right style="thin">
        <color rgb="FFB2B2B2"/>
      </right>
      <top style="thin">
        <color rgb="FFB2B2B2"/>
      </top>
      <bottom style="thin">
        <color rgb="FFB2B2B2"/>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medium">
        <color indexed="64"/>
      </left>
      <right/>
      <top style="medium">
        <color indexed="64"/>
      </top>
      <bottom style="thin">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theme="0"/>
      </top>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thin">
        <color indexed="64"/>
      </left>
      <right style="thin">
        <color indexed="64"/>
      </right>
      <top style="thin">
        <color theme="0"/>
      </top>
      <bottom style="thin">
        <color indexed="64"/>
      </bottom>
      <diagonal/>
    </border>
  </borders>
  <cellStyleXfs count="4">
    <xf numFmtId="0" fontId="0" fillId="0" borderId="0"/>
    <xf numFmtId="44" fontId="2" fillId="0" borderId="0" applyFont="0" applyFill="0" applyBorder="0" applyAlignment="0" applyProtection="0"/>
    <xf numFmtId="43" fontId="3" fillId="0" borderId="0" applyFont="0" applyFill="0" applyBorder="0" applyAlignment="0" applyProtection="0"/>
    <xf numFmtId="0" fontId="10" fillId="7" borderId="16" applyNumberFormat="0" applyFont="0" applyAlignment="0" applyProtection="0"/>
  </cellStyleXfs>
  <cellXfs count="438">
    <xf numFmtId="0" fontId="0" fillId="0" borderId="0" xfId="0" applyFill="1" applyBorder="1" applyAlignment="1">
      <alignment horizontal="left" vertical="top"/>
    </xf>
    <xf numFmtId="0" fontId="4" fillId="0" borderId="0" xfId="0" applyFont="1" applyFill="1" applyBorder="1" applyAlignment="1">
      <alignment horizontal="left" vertical="top"/>
    </xf>
    <xf numFmtId="0" fontId="4" fillId="0" borderId="0" xfId="0" applyFont="1" applyFill="1" applyBorder="1" applyAlignment="1" applyProtection="1">
      <alignment horizontal="left" vertical="top"/>
      <protection locked="0"/>
    </xf>
    <xf numFmtId="0" fontId="2" fillId="0" borderId="0" xfId="0" applyFont="1" applyFill="1" applyBorder="1" applyAlignment="1">
      <alignment horizontal="left" vertical="top"/>
    </xf>
    <xf numFmtId="0" fontId="16" fillId="0" borderId="0" xfId="0" applyFont="1" applyFill="1" applyBorder="1" applyAlignment="1">
      <alignment horizontal="left" vertical="top"/>
    </xf>
    <xf numFmtId="0" fontId="7" fillId="0" borderId="0" xfId="0" applyFont="1" applyFill="1" applyBorder="1" applyAlignment="1">
      <alignment horizontal="left" vertical="top"/>
    </xf>
    <xf numFmtId="0" fontId="5" fillId="0" borderId="0" xfId="0" applyFont="1" applyFill="1" applyBorder="1" applyAlignment="1">
      <alignment horizontal="center" vertical="center"/>
    </xf>
    <xf numFmtId="0" fontId="5" fillId="0" borderId="5" xfId="0" applyFont="1" applyFill="1" applyBorder="1" applyAlignment="1">
      <alignment horizontal="left" vertical="top"/>
    </xf>
    <xf numFmtId="0" fontId="7" fillId="0" borderId="18" xfId="0" applyFont="1" applyFill="1" applyBorder="1" applyAlignment="1">
      <alignment horizontal="left" vertical="top"/>
    </xf>
    <xf numFmtId="0" fontId="7" fillId="0" borderId="0" xfId="0" applyFont="1" applyFill="1" applyBorder="1" applyAlignment="1">
      <alignment horizontal="left" vertical="center"/>
    </xf>
    <xf numFmtId="44" fontId="7" fillId="0" borderId="0" xfId="1" applyFont="1" applyFill="1" applyBorder="1" applyAlignment="1">
      <alignment horizontal="left" vertical="center"/>
    </xf>
    <xf numFmtId="0" fontId="5" fillId="0" borderId="9" xfId="0" applyFont="1" applyFill="1" applyBorder="1" applyAlignment="1">
      <alignment horizontal="center" vertical="center"/>
    </xf>
    <xf numFmtId="0" fontId="7" fillId="0" borderId="9" xfId="0" applyFont="1" applyFill="1" applyBorder="1" applyAlignment="1">
      <alignment horizontal="left" vertical="center"/>
    </xf>
    <xf numFmtId="44" fontId="7" fillId="0" borderId="7" xfId="1" applyFont="1" applyFill="1" applyBorder="1" applyAlignment="1">
      <alignment horizontal="left" vertical="center"/>
    </xf>
    <xf numFmtId="0" fontId="7" fillId="0" borderId="11" xfId="0" applyFont="1" applyFill="1" applyBorder="1" applyAlignment="1">
      <alignment horizontal="left" vertical="center"/>
    </xf>
    <xf numFmtId="0" fontId="5" fillId="0" borderId="9" xfId="0" applyFont="1" applyBorder="1" applyAlignment="1">
      <alignment horizontal="center" vertical="center"/>
    </xf>
    <xf numFmtId="0" fontId="5" fillId="0" borderId="0" xfId="0" applyFont="1" applyBorder="1" applyAlignment="1">
      <alignment horizontal="center" vertical="center"/>
    </xf>
    <xf numFmtId="0" fontId="5" fillId="0" borderId="7" xfId="0" applyFont="1" applyBorder="1" applyAlignment="1">
      <alignment horizontal="center" vertical="center"/>
    </xf>
    <xf numFmtId="0" fontId="4"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protection locked="0"/>
    </xf>
    <xf numFmtId="44" fontId="9" fillId="0" borderId="1" xfId="1" applyFont="1" applyFill="1" applyBorder="1" applyAlignment="1" applyProtection="1">
      <alignment vertical="center" wrapText="1"/>
      <protection locked="0"/>
    </xf>
    <xf numFmtId="44" fontId="9" fillId="0" borderId="1" xfId="1" applyFont="1" applyFill="1" applyBorder="1" applyAlignment="1" applyProtection="1">
      <alignment horizontal="left" vertical="center" wrapText="1"/>
      <protection locked="0"/>
    </xf>
    <xf numFmtId="0" fontId="9" fillId="0" borderId="1" xfId="0" applyFont="1" applyFill="1" applyBorder="1" applyAlignment="1" applyProtection="1">
      <alignment horizontal="right" vertical="center" wrapText="1"/>
      <protection locked="0"/>
    </xf>
    <xf numFmtId="44" fontId="4" fillId="3" borderId="1" xfId="1" applyFont="1" applyFill="1" applyBorder="1" applyAlignment="1" applyProtection="1">
      <alignment horizontal="left" vertical="center" wrapText="1"/>
      <protection locked="0"/>
    </xf>
    <xf numFmtId="0" fontId="0" fillId="0" borderId="0" xfId="0" applyFill="1" applyBorder="1" applyAlignment="1">
      <alignment horizontal="left" vertical="center"/>
    </xf>
    <xf numFmtId="44" fontId="9" fillId="0" borderId="1" xfId="0" applyNumberFormat="1" applyFont="1" applyFill="1" applyBorder="1" applyAlignment="1" applyProtection="1">
      <alignment horizontal="left" vertical="center" wrapText="1"/>
      <protection locked="0"/>
    </xf>
    <xf numFmtId="44" fontId="9" fillId="0" borderId="1" xfId="0" applyNumberFormat="1" applyFont="1" applyFill="1" applyBorder="1" applyAlignment="1" applyProtection="1">
      <alignment vertical="center" wrapText="1"/>
      <protection locked="0"/>
    </xf>
    <xf numFmtId="0" fontId="4" fillId="0" borderId="1" xfId="0" applyFont="1" applyFill="1" applyBorder="1" applyAlignment="1" applyProtection="1">
      <alignment horizontal="left" vertical="center" wrapText="1"/>
      <protection locked="0"/>
    </xf>
    <xf numFmtId="167" fontId="9" fillId="0" borderId="1" xfId="1" applyNumberFormat="1" applyFont="1" applyFill="1" applyBorder="1" applyAlignment="1" applyProtection="1">
      <alignment vertical="center" wrapText="1"/>
      <protection locked="0"/>
    </xf>
    <xf numFmtId="0" fontId="2" fillId="0" borderId="0" xfId="0" applyFont="1" applyAlignment="1">
      <alignment horizontal="left" vertical="top"/>
    </xf>
    <xf numFmtId="0" fontId="0" fillId="0" borderId="0" xfId="0" applyAlignment="1">
      <alignment horizontal="left" vertical="top"/>
    </xf>
    <xf numFmtId="0" fontId="2" fillId="0" borderId="0" xfId="0" applyFont="1" applyFill="1" applyAlignment="1">
      <alignment horizontal="left" vertical="top"/>
    </xf>
    <xf numFmtId="0" fontId="8" fillId="0" borderId="1" xfId="0" applyFont="1" applyBorder="1" applyAlignment="1" applyProtection="1">
      <alignment vertical="top" wrapText="1"/>
      <protection locked="0"/>
    </xf>
    <xf numFmtId="0" fontId="9" fillId="0" borderId="1" xfId="0" applyFont="1" applyBorder="1" applyAlignment="1" applyProtection="1">
      <alignment horizontal="right" wrapText="1"/>
      <protection locked="0"/>
    </xf>
    <xf numFmtId="0" fontId="4" fillId="0" borderId="0" xfId="0" applyFont="1" applyAlignment="1">
      <alignment horizontal="left" vertical="top"/>
    </xf>
    <xf numFmtId="0" fontId="11" fillId="0" borderId="0" xfId="0" applyFont="1" applyAlignment="1">
      <alignment horizontal="left" vertical="top"/>
    </xf>
    <xf numFmtId="0" fontId="5" fillId="0" borderId="7" xfId="0" applyFont="1" applyFill="1" applyBorder="1" applyAlignment="1">
      <alignment horizontal="center" vertical="center"/>
    </xf>
    <xf numFmtId="0" fontId="5" fillId="0" borderId="7" xfId="0" applyFont="1" applyFill="1" applyBorder="1" applyAlignment="1">
      <alignment horizontal="center" vertical="center" readingOrder="1"/>
    </xf>
    <xf numFmtId="0" fontId="7" fillId="0" borderId="0" xfId="0" applyFont="1" applyFill="1" applyBorder="1" applyAlignment="1">
      <alignment vertical="top" readingOrder="1"/>
    </xf>
    <xf numFmtId="0" fontId="7" fillId="0" borderId="7" xfId="0" applyFont="1" applyFill="1" applyBorder="1" applyAlignment="1"/>
    <xf numFmtId="0" fontId="7" fillId="0" borderId="9" xfId="0" applyFont="1" applyBorder="1" applyAlignment="1"/>
    <xf numFmtId="0" fontId="7" fillId="0" borderId="0" xfId="0" applyFont="1" applyBorder="1" applyAlignment="1"/>
    <xf numFmtId="166" fontId="7" fillId="0" borderId="0" xfId="2" applyNumberFormat="1" applyFont="1" applyBorder="1" applyAlignment="1"/>
    <xf numFmtId="0" fontId="7" fillId="0" borderId="7" xfId="0" applyFont="1" applyBorder="1" applyAlignment="1"/>
    <xf numFmtId="0" fontId="7" fillId="0" borderId="0" xfId="0" applyFont="1" applyFill="1" applyBorder="1" applyAlignment="1"/>
    <xf numFmtId="0" fontId="7" fillId="0" borderId="9" xfId="0" applyFont="1" applyFill="1" applyBorder="1" applyAlignment="1"/>
    <xf numFmtId="44" fontId="7" fillId="0" borderId="0" xfId="1" applyFont="1" applyFill="1" applyBorder="1" applyAlignment="1"/>
    <xf numFmtId="44" fontId="7" fillId="0" borderId="7" xfId="1" applyFont="1" applyFill="1" applyBorder="1" applyAlignment="1"/>
    <xf numFmtId="0" fontId="7" fillId="0" borderId="10" xfId="0" applyFont="1" applyBorder="1" applyAlignment="1"/>
    <xf numFmtId="0" fontId="7" fillId="0" borderId="11" xfId="0" applyFont="1" applyBorder="1" applyAlignment="1"/>
    <xf numFmtId="166" fontId="7" fillId="0" borderId="11" xfId="2" applyNumberFormat="1" applyFont="1" applyBorder="1" applyAlignment="1"/>
    <xf numFmtId="0" fontId="7" fillId="0" borderId="8" xfId="0" applyFont="1" applyBorder="1" applyAlignment="1"/>
    <xf numFmtId="0" fontId="7" fillId="0" borderId="0" xfId="0" applyFont="1" applyAlignment="1"/>
    <xf numFmtId="0" fontId="7" fillId="0" borderId="10" xfId="0" applyFont="1" applyFill="1" applyBorder="1" applyAlignment="1"/>
    <xf numFmtId="0" fontId="7" fillId="0" borderId="11" xfId="0" applyFont="1" applyFill="1" applyBorder="1" applyAlignment="1"/>
    <xf numFmtId="44" fontId="7" fillId="0" borderId="11" xfId="1" applyFont="1" applyFill="1" applyBorder="1" applyAlignment="1"/>
    <xf numFmtId="44" fontId="7" fillId="0" borderId="8" xfId="1" applyFont="1" applyFill="1" applyBorder="1" applyAlignment="1"/>
    <xf numFmtId="0" fontId="7" fillId="0" borderId="7" xfId="0" applyFont="1" applyFill="1" applyBorder="1" applyAlignment="1">
      <alignment horizontal="left" vertical="top"/>
    </xf>
    <xf numFmtId="0" fontId="7" fillId="0" borderId="8" xfId="0" applyFont="1" applyFill="1" applyBorder="1" applyAlignment="1">
      <alignment horizontal="left" vertical="top"/>
    </xf>
    <xf numFmtId="0" fontId="7" fillId="0" borderId="0" xfId="0" applyFont="1" applyFill="1" applyBorder="1" applyAlignment="1">
      <alignment horizontal="right" vertical="top" readingOrder="1"/>
    </xf>
    <xf numFmtId="0" fontId="5" fillId="0" borderId="1" xfId="0" applyFont="1" applyFill="1" applyBorder="1" applyAlignment="1" applyProtection="1">
      <alignment vertical="center" wrapText="1"/>
      <protection locked="0"/>
    </xf>
    <xf numFmtId="0" fontId="7" fillId="0" borderId="11" xfId="0" applyFont="1" applyFill="1" applyBorder="1" applyAlignment="1">
      <alignment horizontal="right" vertical="top" readingOrder="1"/>
    </xf>
    <xf numFmtId="0" fontId="20" fillId="0" borderId="0" xfId="0" applyFont="1" applyFill="1" applyBorder="1" applyAlignment="1">
      <alignment horizontal="left" vertical="top"/>
    </xf>
    <xf numFmtId="0" fontId="19" fillId="0" borderId="0" xfId="0" applyFont="1" applyFill="1" applyBorder="1" applyAlignment="1">
      <alignment vertical="top"/>
    </xf>
    <xf numFmtId="0" fontId="21" fillId="0" borderId="0" xfId="0" applyFont="1" applyFill="1" applyBorder="1" applyAlignment="1">
      <alignment horizontal="left" vertical="top"/>
    </xf>
    <xf numFmtId="0" fontId="21" fillId="0" borderId="0" xfId="0" applyFont="1" applyFill="1" applyBorder="1" applyAlignment="1">
      <alignment vertical="top" wrapText="1"/>
    </xf>
    <xf numFmtId="0" fontId="22" fillId="0" borderId="0" xfId="0" applyFont="1" applyFill="1" applyBorder="1" applyAlignment="1">
      <alignment vertical="top"/>
    </xf>
    <xf numFmtId="0" fontId="21" fillId="0" borderId="0" xfId="0" applyFont="1" applyFill="1" applyBorder="1" applyAlignment="1">
      <alignment vertical="top"/>
    </xf>
    <xf numFmtId="0" fontId="19" fillId="0" borderId="0" xfId="0" applyFont="1" applyFill="1" applyBorder="1" applyAlignment="1">
      <alignment vertical="top" wrapText="1"/>
    </xf>
    <xf numFmtId="0" fontId="11" fillId="0" borderId="0" xfId="0" applyFont="1" applyFill="1" applyBorder="1" applyAlignment="1">
      <alignment horizontal="left" vertical="top"/>
    </xf>
    <xf numFmtId="0" fontId="19" fillId="0" borderId="0" xfId="0" applyFont="1" applyFill="1" applyBorder="1" applyAlignment="1">
      <alignment horizontal="right" vertical="top"/>
    </xf>
    <xf numFmtId="0" fontId="20" fillId="0" borderId="0" xfId="0" applyFont="1" applyFill="1" applyBorder="1" applyAlignment="1">
      <alignment vertical="top" wrapText="1"/>
    </xf>
    <xf numFmtId="0" fontId="20" fillId="0" borderId="0" xfId="0" applyFont="1" applyFill="1" applyBorder="1" applyAlignment="1">
      <alignment horizontal="left" vertical="top" wrapText="1"/>
    </xf>
    <xf numFmtId="0" fontId="4" fillId="0" borderId="0" xfId="0" applyFont="1" applyFill="1" applyBorder="1" applyAlignment="1">
      <alignment horizontal="left" vertical="top" wrapText="1"/>
    </xf>
    <xf numFmtId="44" fontId="9" fillId="0" borderId="1" xfId="0" applyNumberFormat="1" applyFont="1" applyBorder="1" applyAlignment="1">
      <alignment horizontal="left" vertical="top" wrapText="1"/>
    </xf>
    <xf numFmtId="0" fontId="9" fillId="0" borderId="1" xfId="0" applyFont="1" applyBorder="1" applyAlignment="1" applyProtection="1">
      <alignment horizontal="left" wrapText="1"/>
      <protection locked="0"/>
    </xf>
    <xf numFmtId="0" fontId="4" fillId="0" borderId="1" xfId="0" applyFont="1" applyBorder="1" applyAlignment="1">
      <alignment vertical="top" wrapText="1"/>
    </xf>
    <xf numFmtId="44" fontId="2" fillId="0" borderId="0" xfId="0" applyNumberFormat="1" applyFont="1" applyFill="1" applyBorder="1" applyAlignment="1">
      <alignment horizontal="left" vertical="top"/>
    </xf>
    <xf numFmtId="44" fontId="2" fillId="0" borderId="0" xfId="0" applyNumberFormat="1" applyFont="1" applyAlignment="1">
      <alignment horizontal="left" vertical="top"/>
    </xf>
    <xf numFmtId="44" fontId="2" fillId="0" borderId="0" xfId="0" applyNumberFormat="1" applyFont="1" applyFill="1" applyAlignment="1">
      <alignment horizontal="left" vertical="top"/>
    </xf>
    <xf numFmtId="44" fontId="9" fillId="0" borderId="1" xfId="1" applyNumberFormat="1" applyFont="1" applyFill="1" applyBorder="1" applyAlignment="1" applyProtection="1">
      <alignment vertical="center" wrapText="1"/>
      <protection locked="0"/>
    </xf>
    <xf numFmtId="0" fontId="25" fillId="0" borderId="1" xfId="0" applyFont="1" applyFill="1" applyBorder="1" applyAlignment="1" applyProtection="1">
      <alignment horizontal="left" vertical="center" wrapText="1"/>
      <protection locked="0"/>
    </xf>
    <xf numFmtId="2" fontId="26" fillId="0" borderId="3" xfId="0" applyNumberFormat="1" applyFont="1" applyFill="1" applyBorder="1" applyAlignment="1" applyProtection="1">
      <alignment horizontal="left" vertical="center" wrapText="1"/>
      <protection locked="0"/>
    </xf>
    <xf numFmtId="0" fontId="8" fillId="0" borderId="1" xfId="0" applyFont="1" applyFill="1" applyBorder="1" applyAlignment="1" applyProtection="1">
      <alignment horizontal="left" vertical="center" wrapText="1"/>
      <protection locked="0"/>
    </xf>
    <xf numFmtId="0" fontId="7" fillId="0" borderId="1" xfId="0" applyFont="1" applyBorder="1" applyAlignment="1">
      <alignment horizontal="center" vertical="top" wrapText="1"/>
    </xf>
    <xf numFmtId="0" fontId="19" fillId="0" borderId="5" xfId="0" applyFont="1" applyBorder="1" applyAlignment="1">
      <alignment horizontal="right" vertical="center"/>
    </xf>
    <xf numFmtId="0" fontId="8" fillId="0" borderId="1" xfId="0" applyFont="1" applyFill="1" applyBorder="1" applyAlignment="1" applyProtection="1">
      <alignment vertical="center" wrapText="1"/>
    </xf>
    <xf numFmtId="0" fontId="24" fillId="0" borderId="0" xfId="0" applyFont="1" applyFill="1" applyBorder="1" applyAlignment="1" applyProtection="1">
      <alignment horizontal="right" vertical="center"/>
    </xf>
    <xf numFmtId="0" fontId="25" fillId="0" borderId="1" xfId="0" applyFont="1" applyFill="1" applyBorder="1" applyAlignment="1" applyProtection="1">
      <alignment horizontal="right" vertical="center" wrapText="1"/>
    </xf>
    <xf numFmtId="0" fontId="9" fillId="0" borderId="1" xfId="0" applyFont="1" applyFill="1" applyBorder="1" applyAlignment="1" applyProtection="1">
      <alignment vertical="center"/>
    </xf>
    <xf numFmtId="0" fontId="4" fillId="0" borderId="1" xfId="0" applyFont="1" applyFill="1" applyBorder="1" applyAlignment="1" applyProtection="1">
      <alignment horizontal="center" vertical="center" wrapText="1"/>
    </xf>
    <xf numFmtId="0" fontId="27" fillId="0" borderId="0" xfId="0" applyFont="1" applyFill="1" applyBorder="1" applyAlignment="1">
      <alignment horizontal="left" vertical="top"/>
    </xf>
    <xf numFmtId="0" fontId="22" fillId="0" borderId="0" xfId="0" applyFont="1" applyFill="1" applyBorder="1" applyAlignment="1">
      <alignment horizontal="left" vertical="top"/>
    </xf>
    <xf numFmtId="44" fontId="9" fillId="0" borderId="1" xfId="0" applyNumberFormat="1" applyFont="1" applyFill="1" applyBorder="1" applyAlignment="1">
      <alignment horizontal="right" vertical="center" wrapText="1"/>
    </xf>
    <xf numFmtId="44" fontId="9" fillId="5" borderId="1" xfId="0" applyNumberFormat="1" applyFont="1" applyFill="1" applyBorder="1" applyAlignment="1">
      <alignment horizontal="left" vertical="center" wrapText="1"/>
    </xf>
    <xf numFmtId="44" fontId="4" fillId="0" borderId="1" xfId="0" applyNumberFormat="1" applyFont="1" applyFill="1" applyBorder="1" applyAlignment="1">
      <alignment horizontal="right" vertical="center" wrapText="1"/>
    </xf>
    <xf numFmtId="44" fontId="4" fillId="5" borderId="1" xfId="0" applyNumberFormat="1" applyFont="1" applyFill="1" applyBorder="1" applyAlignment="1">
      <alignment horizontal="left" vertical="center" wrapText="1"/>
    </xf>
    <xf numFmtId="44" fontId="19" fillId="3" borderId="1" xfId="0" applyNumberFormat="1" applyFont="1" applyFill="1" applyBorder="1" applyAlignment="1">
      <alignment horizontal="left" vertical="center" wrapText="1"/>
    </xf>
    <xf numFmtId="164" fontId="9" fillId="0" borderId="1" xfId="0" applyNumberFormat="1" applyFont="1" applyFill="1" applyBorder="1" applyAlignment="1" applyProtection="1">
      <alignment horizontal="right" vertical="center" wrapText="1"/>
      <protection locked="0"/>
    </xf>
    <xf numFmtId="164" fontId="4" fillId="0" borderId="1" xfId="0" applyNumberFormat="1" applyFont="1" applyFill="1" applyBorder="1" applyAlignment="1" applyProtection="1">
      <alignment horizontal="right" vertical="center" wrapText="1"/>
      <protection locked="0"/>
    </xf>
    <xf numFmtId="165" fontId="4" fillId="0" borderId="1" xfId="0" applyNumberFormat="1" applyFont="1" applyFill="1" applyBorder="1" applyAlignment="1" applyProtection="1">
      <alignment horizontal="right" vertical="center" wrapText="1"/>
      <protection locked="0"/>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0" fontId="7" fillId="0" borderId="3" xfId="0" applyFont="1" applyFill="1" applyBorder="1" applyAlignment="1">
      <alignment horizontal="left" vertical="center" wrapText="1"/>
    </xf>
    <xf numFmtId="0" fontId="7" fillId="0" borderId="3" xfId="0" applyFont="1" applyFill="1" applyBorder="1" applyAlignment="1">
      <alignment horizontal="center" vertical="center" wrapText="1"/>
    </xf>
    <xf numFmtId="0" fontId="4" fillId="0" borderId="1" xfId="0" applyFont="1" applyFill="1" applyBorder="1" applyAlignment="1" applyProtection="1">
      <alignment vertical="center" wrapText="1"/>
      <protection locked="0"/>
    </xf>
    <xf numFmtId="44" fontId="9" fillId="0" borderId="1" xfId="1" applyNumberFormat="1" applyFont="1" applyFill="1" applyBorder="1" applyAlignment="1" applyProtection="1">
      <alignment horizontal="left" vertical="center" wrapText="1"/>
      <protection locked="0"/>
    </xf>
    <xf numFmtId="44" fontId="9" fillId="8" borderId="1" xfId="1" applyFont="1" applyFill="1" applyBorder="1" applyAlignment="1" applyProtection="1">
      <alignment horizontal="left" vertical="top" wrapText="1"/>
      <protection hidden="1"/>
    </xf>
    <xf numFmtId="44" fontId="9" fillId="3" borderId="1" xfId="1" applyFont="1" applyFill="1" applyBorder="1" applyAlignment="1" applyProtection="1">
      <alignment horizontal="left" vertical="top" wrapText="1"/>
      <protection hidden="1"/>
    </xf>
    <xf numFmtId="44" fontId="8" fillId="8" borderId="1" xfId="0" applyNumberFormat="1" applyFont="1" applyFill="1" applyBorder="1" applyAlignment="1" applyProtection="1">
      <alignment vertical="top" wrapText="1"/>
      <protection hidden="1"/>
    </xf>
    <xf numFmtId="44" fontId="4" fillId="3" borderId="1" xfId="1" applyFont="1" applyFill="1" applyBorder="1" applyAlignment="1" applyProtection="1">
      <alignment horizontal="left" vertical="top" wrapText="1"/>
      <protection hidden="1"/>
    </xf>
    <xf numFmtId="166" fontId="9" fillId="0" borderId="1" xfId="2" applyNumberFormat="1" applyFont="1" applyFill="1" applyBorder="1" applyAlignment="1" applyProtection="1">
      <alignment horizontal="left" vertical="top" wrapText="1"/>
      <protection locked="0"/>
    </xf>
    <xf numFmtId="0" fontId="8" fillId="0" borderId="1" xfId="0" applyFont="1" applyBorder="1" applyAlignment="1" applyProtection="1">
      <alignment horizontal="right" wrapText="1"/>
      <protection locked="0"/>
    </xf>
    <xf numFmtId="0" fontId="19" fillId="0" borderId="25" xfId="0" applyFont="1" applyBorder="1" applyAlignment="1" applyProtection="1">
      <alignment vertical="top" wrapText="1"/>
      <protection locked="0"/>
    </xf>
    <xf numFmtId="0" fontId="19" fillId="0" borderId="36" xfId="0" applyFont="1" applyBorder="1" applyAlignment="1" applyProtection="1">
      <alignment vertical="top"/>
      <protection locked="0"/>
    </xf>
    <xf numFmtId="44" fontId="9" fillId="3" borderId="1" xfId="1" applyFont="1" applyFill="1" applyBorder="1" applyAlignment="1" applyProtection="1">
      <alignment horizontal="left" vertical="top" wrapText="1"/>
      <protection locked="0"/>
    </xf>
    <xf numFmtId="166" fontId="9" fillId="8" borderId="1" xfId="2" applyNumberFormat="1" applyFont="1" applyFill="1" applyBorder="1" applyAlignment="1" applyProtection="1">
      <alignment horizontal="left" vertical="center" wrapText="1"/>
      <protection hidden="1"/>
    </xf>
    <xf numFmtId="44" fontId="9" fillId="8" borderId="1" xfId="1" applyFont="1" applyFill="1" applyBorder="1" applyAlignment="1" applyProtection="1">
      <alignment horizontal="left" vertical="center" wrapText="1"/>
      <protection hidden="1"/>
    </xf>
    <xf numFmtId="44" fontId="4" fillId="5" borderId="1" xfId="1" applyFont="1" applyFill="1" applyBorder="1" applyAlignment="1" applyProtection="1">
      <alignment horizontal="left" vertical="center" wrapText="1"/>
      <protection hidden="1"/>
    </xf>
    <xf numFmtId="44" fontId="9" fillId="8" borderId="1" xfId="0" applyNumberFormat="1" applyFont="1" applyFill="1" applyBorder="1" applyAlignment="1" applyProtection="1">
      <alignment horizontal="left" vertical="center" wrapText="1"/>
      <protection hidden="1"/>
    </xf>
    <xf numFmtId="44" fontId="9" fillId="5" borderId="1" xfId="1" applyNumberFormat="1" applyFont="1" applyFill="1" applyBorder="1" applyAlignment="1" applyProtection="1">
      <alignment horizontal="left" vertical="center" wrapText="1"/>
      <protection hidden="1"/>
    </xf>
    <xf numFmtId="44" fontId="9" fillId="8" borderId="1" xfId="1" applyNumberFormat="1" applyFont="1" applyFill="1" applyBorder="1" applyAlignment="1" applyProtection="1">
      <alignment vertical="center" wrapText="1"/>
      <protection hidden="1"/>
    </xf>
    <xf numFmtId="44" fontId="9" fillId="8" borderId="1" xfId="1" applyNumberFormat="1" applyFont="1" applyFill="1" applyBorder="1" applyAlignment="1" applyProtection="1">
      <alignment horizontal="left" vertical="center" wrapText="1"/>
      <protection hidden="1"/>
    </xf>
    <xf numFmtId="44" fontId="9" fillId="3" borderId="1" xfId="1" applyFont="1" applyFill="1" applyBorder="1" applyAlignment="1" applyProtection="1">
      <alignment horizontal="left" vertical="center" wrapText="1"/>
      <protection hidden="1"/>
    </xf>
    <xf numFmtId="44" fontId="4" fillId="8" borderId="1" xfId="0" applyNumberFormat="1" applyFont="1" applyFill="1" applyBorder="1" applyAlignment="1" applyProtection="1">
      <alignment horizontal="left" vertical="center" wrapText="1"/>
      <protection hidden="1"/>
    </xf>
    <xf numFmtId="44" fontId="9" fillId="8" borderId="1" xfId="0" applyNumberFormat="1" applyFont="1" applyFill="1" applyBorder="1" applyAlignment="1" applyProtection="1">
      <alignment vertical="center" wrapText="1"/>
      <protection hidden="1"/>
    </xf>
    <xf numFmtId="44" fontId="4" fillId="3" borderId="1" xfId="1" applyNumberFormat="1" applyFont="1" applyFill="1" applyBorder="1" applyAlignment="1" applyProtection="1">
      <alignment horizontal="left" vertical="center" wrapText="1"/>
      <protection hidden="1"/>
    </xf>
    <xf numFmtId="44" fontId="4" fillId="3" borderId="1" xfId="1" applyFont="1" applyFill="1" applyBorder="1" applyAlignment="1" applyProtection="1">
      <alignment horizontal="left" vertical="center" wrapText="1"/>
      <protection hidden="1"/>
    </xf>
    <xf numFmtId="0" fontId="9" fillId="8" borderId="1" xfId="0" applyFont="1" applyFill="1" applyBorder="1" applyAlignment="1" applyProtection="1">
      <alignment horizontal="center" vertical="center" wrapText="1"/>
      <protection hidden="1"/>
    </xf>
    <xf numFmtId="0" fontId="8" fillId="8" borderId="1" xfId="0" applyFont="1" applyFill="1" applyBorder="1" applyAlignment="1" applyProtection="1">
      <alignment horizontal="center" vertical="center" wrapText="1"/>
      <protection hidden="1"/>
    </xf>
    <xf numFmtId="0" fontId="8" fillId="13" borderId="1" xfId="0" applyFont="1" applyFill="1" applyBorder="1" applyAlignment="1" applyProtection="1">
      <alignment vertical="center" wrapText="1"/>
      <protection hidden="1"/>
    </xf>
    <xf numFmtId="44" fontId="4" fillId="7" borderId="1" xfId="3" applyNumberFormat="1" applyFont="1" applyBorder="1" applyAlignment="1" applyProtection="1">
      <alignment horizontal="left" vertical="center" wrapText="1"/>
      <protection hidden="1"/>
    </xf>
    <xf numFmtId="44" fontId="4" fillId="3" borderId="1" xfId="0" applyNumberFormat="1" applyFont="1" applyFill="1" applyBorder="1" applyAlignment="1" applyProtection="1">
      <alignment horizontal="left" vertical="center" wrapText="1"/>
      <protection hidden="1"/>
    </xf>
    <xf numFmtId="0" fontId="4" fillId="0" borderId="15" xfId="0" applyFont="1" applyFill="1" applyBorder="1" applyAlignment="1" applyProtection="1">
      <alignment horizontal="left" vertical="center"/>
      <protection locked="0"/>
    </xf>
    <xf numFmtId="0" fontId="19" fillId="0" borderId="38" xfId="0" applyFont="1" applyFill="1" applyBorder="1" applyAlignment="1" applyProtection="1">
      <alignment horizontal="right" vertical="center"/>
    </xf>
    <xf numFmtId="0" fontId="4" fillId="0" borderId="43" xfId="0" applyFont="1" applyFill="1" applyBorder="1" applyAlignment="1" applyProtection="1">
      <alignment horizontal="left" vertical="center"/>
      <protection locked="0"/>
    </xf>
    <xf numFmtId="0" fontId="19" fillId="0" borderId="44" xfId="0" applyFont="1" applyFill="1" applyBorder="1" applyAlignment="1" applyProtection="1">
      <alignment horizontal="right" vertical="center"/>
    </xf>
    <xf numFmtId="0" fontId="11" fillId="0" borderId="0" xfId="0" applyFont="1" applyFill="1" applyBorder="1" applyAlignment="1">
      <alignment horizontal="right" vertical="top"/>
    </xf>
    <xf numFmtId="0" fontId="5" fillId="0" borderId="5" xfId="0" applyFont="1" applyFill="1" applyBorder="1" applyAlignment="1">
      <alignment horizontal="center" vertical="center"/>
    </xf>
    <xf numFmtId="2" fontId="9" fillId="8" borderId="1" xfId="0" applyNumberFormat="1" applyFont="1" applyFill="1" applyBorder="1" applyAlignment="1" applyProtection="1">
      <alignment horizontal="left" vertical="center" wrapText="1"/>
      <protection hidden="1"/>
    </xf>
    <xf numFmtId="0" fontId="7" fillId="0" borderId="4" xfId="0" applyFont="1" applyFill="1" applyBorder="1" applyAlignment="1">
      <alignment horizontal="right" vertical="top" readingOrder="1"/>
    </xf>
    <xf numFmtId="0" fontId="7" fillId="0" borderId="13" xfId="0" applyFont="1" applyFill="1" applyBorder="1" applyAlignment="1"/>
    <xf numFmtId="0" fontId="7" fillId="0" borderId="1" xfId="0" applyFont="1" applyFill="1" applyBorder="1" applyAlignment="1" applyProtection="1">
      <alignment vertical="center" wrapText="1"/>
      <protection locked="0"/>
    </xf>
    <xf numFmtId="0" fontId="7" fillId="0" borderId="0" xfId="0" applyFont="1" applyFill="1" applyBorder="1" applyAlignment="1">
      <alignment horizontal="left" vertical="center" wrapText="1"/>
    </xf>
    <xf numFmtId="0" fontId="5" fillId="0" borderId="0" xfId="0" applyFont="1" applyFill="1" applyBorder="1" applyAlignment="1">
      <alignment horizontal="center" vertical="center" readingOrder="1"/>
    </xf>
    <xf numFmtId="0" fontId="7" fillId="0" borderId="12" xfId="0" applyFont="1" applyFill="1" applyBorder="1" applyAlignment="1">
      <alignment horizontal="left" vertical="top"/>
    </xf>
    <xf numFmtId="0" fontId="5" fillId="0" borderId="39" xfId="0" applyFont="1" applyFill="1" applyBorder="1" applyAlignment="1">
      <alignment horizontal="center" vertical="center" readingOrder="1"/>
    </xf>
    <xf numFmtId="0" fontId="7" fillId="0" borderId="5" xfId="0" applyFont="1" applyFill="1" applyBorder="1" applyAlignment="1">
      <alignment vertical="top" readingOrder="1"/>
    </xf>
    <xf numFmtId="0" fontId="7" fillId="0" borderId="39" xfId="0" applyFont="1" applyFill="1" applyBorder="1" applyAlignment="1">
      <alignment vertical="top" readingOrder="1"/>
    </xf>
    <xf numFmtId="0" fontId="7" fillId="0" borderId="39" xfId="0" applyFont="1" applyFill="1" applyBorder="1" applyAlignment="1">
      <alignment horizontal="left" vertical="top"/>
    </xf>
    <xf numFmtId="0" fontId="4" fillId="0" borderId="9"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4" xfId="0" applyFont="1" applyFill="1" applyBorder="1" applyAlignment="1">
      <alignment vertical="top" readingOrder="1"/>
    </xf>
    <xf numFmtId="0" fontId="4" fillId="0" borderId="0" xfId="0" applyFont="1" applyFill="1" applyBorder="1" applyAlignment="1">
      <alignment vertical="center" wrapText="1"/>
    </xf>
    <xf numFmtId="0" fontId="7" fillId="0" borderId="0" xfId="0" applyFont="1" applyFill="1" applyBorder="1" applyAlignment="1">
      <alignment vertical="top"/>
    </xf>
    <xf numFmtId="0" fontId="7" fillId="0" borderId="11" xfId="0" applyFont="1" applyFill="1" applyBorder="1" applyAlignment="1">
      <alignment vertical="top"/>
    </xf>
    <xf numFmtId="0" fontId="4" fillId="0" borderId="1" xfId="0" applyFont="1" applyFill="1" applyBorder="1" applyAlignment="1" applyProtection="1">
      <alignment horizontal="right" vertical="center"/>
    </xf>
    <xf numFmtId="2" fontId="7" fillId="0" borderId="0" xfId="0" applyNumberFormat="1" applyFont="1" applyBorder="1" applyAlignment="1"/>
    <xf numFmtId="0" fontId="19" fillId="0" borderId="1" xfId="0" applyFont="1" applyFill="1" applyBorder="1" applyAlignment="1">
      <alignment horizontal="left" vertical="center"/>
    </xf>
    <xf numFmtId="0" fontId="33" fillId="0" borderId="1" xfId="0" applyFont="1" applyFill="1" applyBorder="1" applyAlignment="1">
      <alignment horizontal="left" vertical="center"/>
    </xf>
    <xf numFmtId="0" fontId="20" fillId="0" borderId="1" xfId="0" applyFont="1" applyBorder="1" applyAlignment="1">
      <alignment horizontal="left" vertical="center"/>
    </xf>
    <xf numFmtId="0" fontId="7" fillId="0" borderId="4" xfId="0" applyFont="1" applyFill="1" applyBorder="1" applyAlignment="1">
      <alignment horizontal="left" vertical="top" readingOrder="1"/>
    </xf>
    <xf numFmtId="0" fontId="7" fillId="0" borderId="0" xfId="0" applyFont="1" applyFill="1" applyBorder="1" applyAlignment="1">
      <alignment horizontal="left" vertical="top" readingOrder="1"/>
    </xf>
    <xf numFmtId="0" fontId="7" fillId="0" borderId="11" xfId="0" applyFont="1" applyFill="1" applyBorder="1" applyAlignment="1">
      <alignment horizontal="left" vertical="top"/>
    </xf>
    <xf numFmtId="0" fontId="2" fillId="0" borderId="0" xfId="0" applyFont="1"/>
    <xf numFmtId="0" fontId="4" fillId="0" borderId="0" xfId="0" applyFont="1" applyFill="1" applyBorder="1" applyAlignment="1">
      <alignment horizontal="left" vertical="center" wrapText="1"/>
    </xf>
    <xf numFmtId="0" fontId="7" fillId="0" borderId="7" xfId="0" applyFont="1" applyFill="1" applyBorder="1" applyAlignment="1">
      <alignment vertical="top" readingOrder="1"/>
    </xf>
    <xf numFmtId="2" fontId="7" fillId="0" borderId="11" xfId="0" applyNumberFormat="1" applyFont="1" applyBorder="1" applyAlignment="1"/>
    <xf numFmtId="0" fontId="7" fillId="14" borderId="52" xfId="0" applyFont="1" applyFill="1" applyBorder="1" applyAlignment="1"/>
    <xf numFmtId="0" fontId="7" fillId="0" borderId="9" xfId="0" applyFont="1" applyFill="1" applyBorder="1" applyAlignment="1">
      <alignment horizontal="left" vertical="top"/>
    </xf>
    <xf numFmtId="0" fontId="7" fillId="0" borderId="10" xfId="0" applyFont="1" applyFill="1" applyBorder="1" applyAlignment="1">
      <alignment horizontal="left" vertical="top"/>
    </xf>
    <xf numFmtId="0" fontId="5" fillId="0" borderId="5" xfId="0" applyFont="1" applyBorder="1" applyAlignment="1">
      <alignment horizontal="center" vertical="center"/>
    </xf>
    <xf numFmtId="0" fontId="5" fillId="0" borderId="0" xfId="0" applyFont="1" applyAlignment="1">
      <alignment horizontal="center" vertical="center"/>
    </xf>
    <xf numFmtId="0" fontId="7" fillId="0" borderId="0" xfId="0" applyFont="1"/>
    <xf numFmtId="0" fontId="7" fillId="15" borderId="53" xfId="0" applyFont="1" applyFill="1" applyBorder="1"/>
    <xf numFmtId="0" fontId="7" fillId="14" borderId="53" xfId="0" applyFont="1" applyFill="1" applyBorder="1"/>
    <xf numFmtId="0" fontId="7" fillId="15" borderId="55" xfId="0" applyFont="1" applyFill="1" applyBorder="1"/>
    <xf numFmtId="0" fontId="7" fillId="15" borderId="54" xfId="0" applyFont="1" applyFill="1" applyBorder="1"/>
    <xf numFmtId="0" fontId="7"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wrapText="1"/>
    </xf>
    <xf numFmtId="0" fontId="9" fillId="0" borderId="1" xfId="0" applyFont="1" applyFill="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9" fillId="8" borderId="1" xfId="0" applyFont="1" applyFill="1" applyBorder="1" applyAlignment="1" applyProtection="1">
      <alignment horizontal="left" vertical="center" wrapText="1"/>
      <protection hidden="1"/>
    </xf>
    <xf numFmtId="0" fontId="7" fillId="0" borderId="1" xfId="0" applyFont="1" applyFill="1" applyBorder="1" applyAlignment="1" applyProtection="1">
      <alignment horizontal="right" vertical="center" wrapText="1"/>
    </xf>
    <xf numFmtId="0" fontId="8"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protection locked="0"/>
    </xf>
    <xf numFmtId="0" fontId="7" fillId="0" borderId="1" xfId="0" applyFont="1" applyFill="1" applyBorder="1" applyAlignment="1" applyProtection="1">
      <alignment horizontal="left" vertical="center" wrapText="1"/>
      <protection locked="0"/>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Border="1" applyAlignment="1" applyProtection="1">
      <alignment horizontal="left" vertical="top" wrapText="1"/>
      <protection locked="0"/>
    </xf>
    <xf numFmtId="0" fontId="19" fillId="0" borderId="1" xfId="0" applyFont="1" applyBorder="1" applyAlignment="1">
      <alignment horizontal="right" vertical="center" wrapText="1"/>
    </xf>
    <xf numFmtId="0" fontId="7" fillId="0" borderId="1" xfId="0" applyFont="1" applyBorder="1" applyAlignment="1">
      <alignment horizontal="center" vertical="center" wrapText="1"/>
    </xf>
    <xf numFmtId="0" fontId="9" fillId="0" borderId="1" xfId="0" applyFont="1" applyBorder="1" applyAlignment="1">
      <alignment horizontal="left" vertical="top" wrapText="1"/>
    </xf>
    <xf numFmtId="0" fontId="4" fillId="0" borderId="1" xfId="0" applyFont="1" applyBorder="1" applyAlignment="1">
      <alignment horizontal="left" vertical="top" wrapText="1"/>
    </xf>
    <xf numFmtId="0" fontId="5" fillId="0" borderId="3" xfId="0" applyFont="1" applyBorder="1" applyAlignment="1">
      <alignment horizontal="center" wrapText="1"/>
    </xf>
    <xf numFmtId="0" fontId="5" fillId="0" borderId="1" xfId="0" applyFont="1" applyBorder="1" applyAlignment="1">
      <alignment horizontal="center" vertical="top" wrapText="1"/>
    </xf>
    <xf numFmtId="0" fontId="5" fillId="0" borderId="1" xfId="0" applyFont="1" applyBorder="1" applyAlignment="1">
      <alignment horizontal="center" wrapText="1"/>
    </xf>
    <xf numFmtId="0" fontId="4" fillId="8" borderId="1" xfId="0" applyFont="1" applyFill="1" applyBorder="1" applyAlignment="1" applyProtection="1">
      <alignment horizontal="left" vertical="center" wrapText="1"/>
      <protection hidden="1"/>
    </xf>
    <xf numFmtId="0" fontId="5" fillId="0" borderId="1" xfId="0" applyFont="1" applyBorder="1" applyAlignment="1">
      <alignment horizontal="center" vertical="center" wrapText="1"/>
    </xf>
    <xf numFmtId="0" fontId="19" fillId="0" borderId="0" xfId="0" applyFont="1" applyFill="1" applyBorder="1" applyAlignment="1">
      <alignment horizontal="left" vertical="center"/>
    </xf>
    <xf numFmtId="0" fontId="19" fillId="0" borderId="0" xfId="0" applyFont="1" applyFill="1" applyBorder="1" applyAlignment="1">
      <alignment horizontal="center" vertical="top"/>
    </xf>
    <xf numFmtId="0" fontId="19" fillId="8" borderId="0" xfId="0" applyFont="1" applyFill="1" applyBorder="1" applyAlignment="1">
      <alignment horizontal="center" vertical="top"/>
    </xf>
    <xf numFmtId="0" fontId="19" fillId="0" borderId="0" xfId="0" applyFont="1" applyFill="1" applyBorder="1" applyAlignment="1">
      <alignment horizontal="center" vertical="center"/>
    </xf>
    <xf numFmtId="0" fontId="4" fillId="0" borderId="3" xfId="0" applyFont="1" applyFill="1" applyBorder="1" applyAlignment="1" applyProtection="1">
      <alignment horizontal="center" vertical="center"/>
      <protection locked="0"/>
    </xf>
    <xf numFmtId="0" fontId="4" fillId="0" borderId="2" xfId="0"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wrapText="1"/>
      <protection locked="0"/>
    </xf>
    <xf numFmtId="0" fontId="7" fillId="0" borderId="2" xfId="0" applyFont="1" applyFill="1" applyBorder="1" applyAlignment="1" applyProtection="1">
      <alignment horizontal="center" vertical="center" wrapText="1"/>
      <protection locked="0"/>
    </xf>
    <xf numFmtId="0" fontId="4" fillId="8" borderId="1" xfId="0" applyFont="1" applyFill="1" applyBorder="1" applyAlignment="1" applyProtection="1">
      <alignment horizontal="left" vertical="center"/>
      <protection hidden="1"/>
    </xf>
    <xf numFmtId="0" fontId="7" fillId="0" borderId="1" xfId="0" applyFont="1" applyFill="1" applyBorder="1" applyAlignment="1" applyProtection="1">
      <alignment horizontal="right" vertical="center" wrapText="1"/>
    </xf>
    <xf numFmtId="0" fontId="4" fillId="0" borderId="1" xfId="0" applyFont="1" applyFill="1" applyBorder="1" applyAlignment="1" applyProtection="1">
      <alignment horizontal="center" vertical="center"/>
      <protection locked="0"/>
    </xf>
    <xf numFmtId="0" fontId="7" fillId="8" borderId="1" xfId="0" applyFont="1" applyFill="1" applyBorder="1" applyAlignment="1" applyProtection="1">
      <alignment horizontal="center" vertical="center" wrapText="1"/>
      <protection hidden="1"/>
    </xf>
    <xf numFmtId="0" fontId="5" fillId="2" borderId="1" xfId="0" applyFont="1" applyFill="1" applyBorder="1" applyAlignment="1" applyProtection="1">
      <alignment horizontal="left" vertical="center" wrapText="1"/>
    </xf>
    <xf numFmtId="0" fontId="1" fillId="8" borderId="1" xfId="0" applyFont="1" applyFill="1" applyBorder="1" applyAlignment="1" applyProtection="1">
      <alignment horizontal="left" vertical="center" wrapText="1"/>
      <protection hidden="1"/>
    </xf>
    <xf numFmtId="0" fontId="8" fillId="0" borderId="1" xfId="0" applyFont="1" applyFill="1" applyBorder="1" applyAlignment="1" applyProtection="1">
      <alignment horizontal="left" vertical="center" wrapText="1"/>
    </xf>
    <xf numFmtId="0" fontId="5"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right" vertical="center" wrapText="1"/>
    </xf>
    <xf numFmtId="0" fontId="7" fillId="0" borderId="1" xfId="0" applyFont="1" applyFill="1" applyBorder="1" applyAlignment="1" applyProtection="1">
      <alignment horizontal="left" vertical="center" wrapText="1"/>
      <protection locked="0"/>
    </xf>
    <xf numFmtId="0" fontId="26" fillId="0" borderId="3" xfId="0" applyFont="1" applyFill="1" applyBorder="1" applyAlignment="1" applyProtection="1">
      <alignment horizontal="right" vertical="center" wrapText="1"/>
    </xf>
    <xf numFmtId="0" fontId="26" fillId="0" borderId="2" xfId="0" applyFont="1" applyFill="1" applyBorder="1" applyAlignment="1" applyProtection="1">
      <alignment horizontal="right" vertical="center" wrapText="1"/>
    </xf>
    <xf numFmtId="44" fontId="1" fillId="8" borderId="1" xfId="1" applyFont="1" applyFill="1" applyBorder="1" applyAlignment="1" applyProtection="1">
      <alignment horizontal="left" vertical="center" wrapText="1"/>
      <protection hidden="1"/>
    </xf>
    <xf numFmtId="0" fontId="30" fillId="8" borderId="1" xfId="0" applyFont="1" applyFill="1" applyBorder="1" applyAlignment="1" applyProtection="1">
      <alignment horizontal="center" vertical="center" wrapText="1"/>
      <protection hidden="1"/>
    </xf>
    <xf numFmtId="0" fontId="7" fillId="0" borderId="1" xfId="0" applyFont="1" applyFill="1" applyBorder="1" applyAlignment="1" applyProtection="1">
      <alignment horizontal="center" vertical="center" wrapText="1"/>
    </xf>
    <xf numFmtId="0" fontId="12" fillId="0" borderId="1" xfId="0" applyFont="1" applyFill="1" applyBorder="1" applyAlignment="1" applyProtection="1">
      <alignment horizontal="center" vertical="center"/>
    </xf>
    <xf numFmtId="0" fontId="7" fillId="2" borderId="1" xfId="0" applyFont="1" applyFill="1" applyBorder="1" applyAlignment="1" applyProtection="1">
      <alignment horizontal="left" vertical="center" wrapText="1"/>
    </xf>
    <xf numFmtId="0" fontId="5" fillId="4" borderId="1" xfId="0" applyFont="1" applyFill="1" applyBorder="1" applyAlignment="1" applyProtection="1">
      <alignment horizontal="left" vertical="center" wrapText="1"/>
    </xf>
    <xf numFmtId="0" fontId="5" fillId="0" borderId="1" xfId="0" applyFont="1" applyFill="1" applyBorder="1" applyAlignment="1" applyProtection="1">
      <alignment horizontal="left" vertical="center" wrapText="1"/>
      <protection locked="0"/>
    </xf>
    <xf numFmtId="0" fontId="9" fillId="8" borderId="1" xfId="0" applyFont="1" applyFill="1" applyBorder="1" applyAlignment="1" applyProtection="1">
      <alignment horizontal="left" vertical="center" wrapText="1"/>
      <protection hidden="1"/>
    </xf>
    <xf numFmtId="44" fontId="9" fillId="8" borderId="1" xfId="1" applyFont="1" applyFill="1" applyBorder="1" applyAlignment="1" applyProtection="1">
      <alignment horizontal="center" vertical="center" wrapText="1"/>
      <protection hidden="1"/>
    </xf>
    <xf numFmtId="44" fontId="9" fillId="0" borderId="1" xfId="0" applyNumberFormat="1" applyFont="1" applyFill="1" applyBorder="1" applyAlignment="1" applyProtection="1">
      <alignment horizontal="center" vertical="center" wrapText="1"/>
      <protection locked="0"/>
    </xf>
    <xf numFmtId="0" fontId="8"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protection locked="0"/>
    </xf>
    <xf numFmtId="0" fontId="7" fillId="0" borderId="1" xfId="0" applyFont="1" applyFill="1" applyBorder="1" applyAlignment="1" applyProtection="1">
      <alignment horizontal="center" vertical="center" wrapText="1"/>
      <protection locked="0"/>
    </xf>
    <xf numFmtId="0" fontId="31" fillId="0" borderId="0" xfId="0" applyFont="1" applyFill="1" applyBorder="1" applyAlignment="1" applyProtection="1">
      <alignment horizontal="left" vertical="top" wrapText="1"/>
    </xf>
    <xf numFmtId="0" fontId="5" fillId="7" borderId="1" xfId="3" applyFont="1" applyBorder="1" applyAlignment="1" applyProtection="1">
      <alignment horizontal="left" vertical="center" wrapText="1"/>
    </xf>
    <xf numFmtId="0" fontId="13" fillId="0" borderId="32" xfId="0" applyFont="1" applyFill="1" applyBorder="1" applyAlignment="1" applyProtection="1">
      <alignment horizontal="left" vertical="center" wrapText="1"/>
    </xf>
    <xf numFmtId="0" fontId="13" fillId="0" borderId="33" xfId="0" applyFont="1" applyFill="1" applyBorder="1" applyAlignment="1" applyProtection="1">
      <alignment horizontal="left" vertical="center" wrapText="1"/>
    </xf>
    <xf numFmtId="0" fontId="13" fillId="0" borderId="51" xfId="0" applyFont="1" applyFill="1" applyBorder="1" applyAlignment="1" applyProtection="1">
      <alignment horizontal="left" vertical="center" wrapText="1"/>
    </xf>
    <xf numFmtId="0" fontId="13" fillId="0" borderId="26" xfId="0" applyFont="1" applyFill="1" applyBorder="1" applyAlignment="1" applyProtection="1">
      <alignment horizontal="left" vertical="center" wrapText="1"/>
    </xf>
    <xf numFmtId="0" fontId="13" fillId="0" borderId="27" xfId="0" applyFont="1" applyFill="1" applyBorder="1" applyAlignment="1" applyProtection="1">
      <alignment horizontal="left" vertical="center" wrapText="1"/>
    </xf>
    <xf numFmtId="0" fontId="13" fillId="0" borderId="28" xfId="0" applyFont="1" applyFill="1" applyBorder="1" applyAlignment="1" applyProtection="1">
      <alignment horizontal="left" vertical="center" wrapText="1"/>
    </xf>
    <xf numFmtId="0" fontId="5" fillId="3" borderId="1" xfId="0" applyFont="1" applyFill="1" applyBorder="1" applyAlignment="1" applyProtection="1">
      <alignment horizontal="left" vertical="center" wrapText="1"/>
    </xf>
    <xf numFmtId="49" fontId="11" fillId="0" borderId="45" xfId="0" applyNumberFormat="1" applyFont="1" applyFill="1" applyBorder="1" applyAlignment="1" applyProtection="1">
      <alignment horizontal="center" vertical="center"/>
    </xf>
    <xf numFmtId="49" fontId="11" fillId="0" borderId="46" xfId="0" applyNumberFormat="1" applyFont="1" applyFill="1" applyBorder="1" applyAlignment="1" applyProtection="1">
      <alignment horizontal="center" vertical="center"/>
    </xf>
    <xf numFmtId="49" fontId="11" fillId="0" borderId="47" xfId="0" applyNumberFormat="1" applyFont="1" applyFill="1" applyBorder="1" applyAlignment="1" applyProtection="1">
      <alignment horizontal="center" vertical="center"/>
    </xf>
    <xf numFmtId="0" fontId="1" fillId="8" borderId="1" xfId="0" applyFont="1" applyFill="1" applyBorder="1" applyAlignment="1" applyProtection="1">
      <alignment horizontal="center" vertical="center" wrapText="1"/>
      <protection hidden="1"/>
    </xf>
    <xf numFmtId="0" fontId="19" fillId="0" borderId="45" xfId="0" applyFont="1" applyFill="1" applyBorder="1" applyAlignment="1" applyProtection="1">
      <alignment horizontal="right" vertical="center"/>
    </xf>
    <xf numFmtId="0" fontId="19" fillId="0" borderId="47" xfId="0" applyFont="1" applyFill="1" applyBorder="1" applyAlignment="1" applyProtection="1">
      <alignment horizontal="right" vertical="center"/>
    </xf>
    <xf numFmtId="0" fontId="11" fillId="0" borderId="45" xfId="0" applyFont="1" applyFill="1" applyBorder="1" applyAlignment="1" applyProtection="1">
      <alignment horizontal="left" vertical="center"/>
      <protection locked="0"/>
    </xf>
    <xf numFmtId="0" fontId="11" fillId="0" borderId="46" xfId="0" applyFont="1" applyFill="1" applyBorder="1" applyAlignment="1" applyProtection="1">
      <alignment horizontal="left" vertical="center"/>
      <protection locked="0"/>
    </xf>
    <xf numFmtId="0" fontId="11" fillId="0" borderId="47" xfId="0" applyFont="1" applyFill="1" applyBorder="1" applyAlignment="1" applyProtection="1">
      <alignment horizontal="left" vertical="center"/>
      <protection locked="0"/>
    </xf>
    <xf numFmtId="0" fontId="11" fillId="0" borderId="48" xfId="0" applyFont="1" applyFill="1" applyBorder="1" applyAlignment="1" applyProtection="1">
      <alignment horizontal="left" vertical="center" wrapText="1"/>
      <protection locked="0"/>
    </xf>
    <xf numFmtId="0" fontId="11" fillId="0" borderId="49" xfId="0" applyFont="1" applyFill="1" applyBorder="1" applyAlignment="1" applyProtection="1">
      <alignment horizontal="left" vertical="center" wrapText="1"/>
      <protection locked="0"/>
    </xf>
    <xf numFmtId="0" fontId="11" fillId="0" borderId="50" xfId="0" applyFont="1" applyFill="1" applyBorder="1" applyAlignment="1" applyProtection="1">
      <alignment horizontal="left" vertical="center" wrapText="1"/>
      <protection locked="0"/>
    </xf>
    <xf numFmtId="0" fontId="19" fillId="0" borderId="48" xfId="0" applyFont="1" applyFill="1" applyBorder="1" applyAlignment="1" applyProtection="1">
      <alignment horizontal="right" vertical="center" wrapText="1"/>
    </xf>
    <xf numFmtId="0" fontId="19" fillId="0" borderId="50" xfId="0" applyFont="1" applyFill="1" applyBorder="1" applyAlignment="1" applyProtection="1">
      <alignment horizontal="right" vertical="center" wrapText="1"/>
    </xf>
    <xf numFmtId="0" fontId="7" fillId="8" borderId="1" xfId="0" applyFont="1" applyFill="1" applyBorder="1" applyAlignment="1" applyProtection="1">
      <alignment vertical="center" wrapText="1"/>
      <protection hidden="1"/>
    </xf>
    <xf numFmtId="0" fontId="9" fillId="0" borderId="1" xfId="0" applyFont="1" applyFill="1" applyBorder="1" applyAlignment="1" applyProtection="1">
      <alignment vertical="center" wrapText="1"/>
      <protection locked="0"/>
    </xf>
    <xf numFmtId="0" fontId="8" fillId="0" borderId="1" xfId="0" applyFont="1" applyFill="1" applyBorder="1" applyAlignment="1" applyProtection="1">
      <alignment vertical="center" wrapText="1"/>
      <protection locked="0"/>
    </xf>
    <xf numFmtId="0" fontId="13" fillId="0" borderId="45" xfId="0" applyFont="1" applyFill="1" applyBorder="1" applyAlignment="1" applyProtection="1">
      <alignment horizontal="left" vertical="center" wrapText="1"/>
    </xf>
    <xf numFmtId="0" fontId="13" fillId="0" borderId="46" xfId="0" applyFont="1" applyFill="1" applyBorder="1" applyAlignment="1" applyProtection="1">
      <alignment horizontal="left" vertical="center" wrapText="1"/>
    </xf>
    <xf numFmtId="0" fontId="13" fillId="0" borderId="47" xfId="0" applyFont="1" applyFill="1" applyBorder="1" applyAlignment="1" applyProtection="1">
      <alignment horizontal="left" vertical="center" wrapText="1"/>
    </xf>
    <xf numFmtId="0" fontId="5" fillId="2" borderId="29" xfId="0" applyFont="1" applyFill="1" applyBorder="1" applyAlignment="1" applyProtection="1">
      <alignment horizontal="center" vertical="center" wrapText="1"/>
    </xf>
    <xf numFmtId="0" fontId="5" fillId="2" borderId="30" xfId="0" applyFont="1" applyFill="1" applyBorder="1" applyAlignment="1" applyProtection="1">
      <alignment horizontal="center" vertical="center" wrapText="1"/>
    </xf>
    <xf numFmtId="0" fontId="5" fillId="2" borderId="31" xfId="0" applyFont="1" applyFill="1" applyBorder="1" applyAlignment="1" applyProtection="1">
      <alignment horizontal="center" vertical="center" wrapText="1"/>
    </xf>
    <xf numFmtId="0" fontId="5" fillId="2" borderId="45" xfId="0" applyFont="1" applyFill="1" applyBorder="1" applyAlignment="1" applyProtection="1">
      <alignment horizontal="center" vertical="center" wrapText="1"/>
    </xf>
    <xf numFmtId="0" fontId="5" fillId="2" borderId="46" xfId="0" applyFont="1" applyFill="1" applyBorder="1" applyAlignment="1" applyProtection="1">
      <alignment horizontal="center" vertical="center" wrapText="1"/>
    </xf>
    <xf numFmtId="0" fontId="5" fillId="2" borderId="47" xfId="0" applyFont="1" applyFill="1" applyBorder="1" applyAlignment="1" applyProtection="1">
      <alignment horizontal="center" vertical="center" wrapText="1"/>
    </xf>
    <xf numFmtId="0" fontId="17" fillId="3" borderId="1" xfId="0" applyFont="1" applyFill="1" applyBorder="1" applyAlignment="1">
      <alignment vertical="center" wrapText="1"/>
    </xf>
    <xf numFmtId="0" fontId="5" fillId="6"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4"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4" fillId="0" borderId="1"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9" fillId="0" borderId="1" xfId="0" applyFont="1" applyFill="1" applyBorder="1" applyAlignment="1">
      <alignment horizontal="center" vertical="center" wrapText="1"/>
    </xf>
    <xf numFmtId="0" fontId="8" fillId="0" borderId="1"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14" fillId="0" borderId="0" xfId="0" applyFont="1" applyFill="1" applyBorder="1" applyAlignment="1" applyProtection="1">
      <alignment horizontal="left" vertical="top" wrapText="1"/>
    </xf>
    <xf numFmtId="44" fontId="8" fillId="0" borderId="1" xfId="1" applyNumberFormat="1" applyFont="1" applyFill="1" applyBorder="1" applyAlignment="1" applyProtection="1">
      <alignment horizontal="center" vertical="top" wrapText="1"/>
      <protection locked="0"/>
    </xf>
    <xf numFmtId="44" fontId="9" fillId="0" borderId="1" xfId="1" applyFont="1" applyFill="1" applyBorder="1" applyAlignment="1" applyProtection="1">
      <alignment horizontal="right" vertical="top" wrapText="1"/>
      <protection locked="0"/>
    </xf>
    <xf numFmtId="44" fontId="9" fillId="0" borderId="1" xfId="1" applyFont="1" applyFill="1" applyBorder="1" applyAlignment="1" applyProtection="1">
      <alignment horizontal="center" vertical="top" wrapText="1"/>
      <protection locked="0"/>
    </xf>
    <xf numFmtId="0" fontId="8" fillId="0" borderId="1" xfId="0" applyFont="1" applyBorder="1" applyAlignment="1">
      <alignment horizontal="left" vertical="top" wrapText="1"/>
    </xf>
    <xf numFmtId="0" fontId="5" fillId="0" borderId="12" xfId="0" applyFont="1" applyBorder="1" applyAlignment="1">
      <alignment horizontal="center" wrapText="1"/>
    </xf>
    <xf numFmtId="0" fontId="5" fillId="0" borderId="13" xfId="0" applyFont="1" applyBorder="1" applyAlignment="1">
      <alignment horizontal="center" wrapText="1"/>
    </xf>
    <xf numFmtId="0" fontId="5" fillId="0" borderId="9" xfId="0" applyFont="1" applyBorder="1" applyAlignment="1">
      <alignment horizontal="center" wrapText="1"/>
    </xf>
    <xf numFmtId="0" fontId="5" fillId="0" borderId="7" xfId="0" applyFont="1" applyBorder="1" applyAlignment="1">
      <alignment horizontal="center" wrapText="1"/>
    </xf>
    <xf numFmtId="0" fontId="5" fillId="0" borderId="10" xfId="0" applyFont="1" applyBorder="1" applyAlignment="1">
      <alignment horizontal="center" wrapText="1"/>
    </xf>
    <xf numFmtId="0" fontId="5" fillId="0" borderId="8" xfId="0" applyFont="1" applyBorder="1" applyAlignment="1">
      <alignment horizontal="center" wrapText="1"/>
    </xf>
    <xf numFmtId="0" fontId="5" fillId="0" borderId="3" xfId="0" applyFont="1" applyBorder="1" applyAlignment="1">
      <alignment horizontal="center" wrapText="1"/>
    </xf>
    <xf numFmtId="0" fontId="5" fillId="0" borderId="2" xfId="0" applyFont="1" applyBorder="1" applyAlignment="1">
      <alignment horizontal="center" wrapText="1"/>
    </xf>
    <xf numFmtId="0" fontId="5" fillId="0" borderId="1" xfId="0" applyFont="1" applyBorder="1" applyAlignment="1">
      <alignment horizontal="center" wrapText="1"/>
    </xf>
    <xf numFmtId="44" fontId="9" fillId="0" borderId="1" xfId="0" applyNumberFormat="1" applyFont="1" applyBorder="1" applyAlignment="1" applyProtection="1">
      <alignment horizontal="left" vertical="top" wrapText="1"/>
      <protection locked="0"/>
    </xf>
    <xf numFmtId="0" fontId="5" fillId="2" borderId="1" xfId="0" applyFont="1" applyFill="1" applyBorder="1" applyAlignment="1">
      <alignment horizontal="left" vertical="top" wrapText="1"/>
    </xf>
    <xf numFmtId="0" fontId="7" fillId="0" borderId="1" xfId="0" applyFont="1" applyBorder="1" applyAlignment="1">
      <alignment horizontal="center" vertical="center" wrapText="1"/>
    </xf>
    <xf numFmtId="44" fontId="8" fillId="0" borderId="1" xfId="1" applyFont="1" applyFill="1" applyBorder="1" applyAlignment="1" applyProtection="1">
      <alignment horizontal="center" vertical="top" wrapText="1"/>
      <protection locked="0"/>
    </xf>
    <xf numFmtId="0" fontId="9" fillId="0" borderId="1" xfId="0" applyFont="1" applyBorder="1" applyAlignment="1">
      <alignment horizontal="left" vertical="top" wrapText="1"/>
    </xf>
    <xf numFmtId="0" fontId="5" fillId="0" borderId="1"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 xfId="0" applyFont="1" applyBorder="1" applyAlignment="1">
      <alignment horizontal="center" vertical="center" wrapText="1"/>
    </xf>
    <xf numFmtId="0" fontId="7" fillId="8" borderId="1" xfId="0" applyFont="1" applyFill="1" applyBorder="1" applyAlignment="1" applyProtection="1">
      <alignment horizontal="left" vertical="center" wrapText="1"/>
      <protection hidden="1"/>
    </xf>
    <xf numFmtId="0" fontId="7" fillId="8" borderId="25" xfId="0" applyFont="1" applyFill="1" applyBorder="1" applyAlignment="1" applyProtection="1">
      <alignment horizontal="left" vertical="center" wrapText="1"/>
      <protection hidden="1"/>
    </xf>
    <xf numFmtId="0" fontId="5" fillId="0" borderId="26" xfId="0" applyFont="1" applyBorder="1" applyAlignment="1">
      <alignment horizontal="center" vertical="center" wrapText="1"/>
    </xf>
    <xf numFmtId="0" fontId="5" fillId="0" borderId="27" xfId="0" applyFont="1" applyBorder="1" applyAlignment="1">
      <alignment horizontal="center" vertical="center" wrapText="1"/>
    </xf>
    <xf numFmtId="44" fontId="7" fillId="8" borderId="27" xfId="1" applyFont="1" applyFill="1" applyBorder="1" applyAlignment="1" applyProtection="1">
      <alignment horizontal="left" vertical="center" wrapText="1"/>
      <protection hidden="1"/>
    </xf>
    <xf numFmtId="0" fontId="5" fillId="0" borderId="27" xfId="1" applyNumberFormat="1" applyFont="1" applyFill="1" applyBorder="1" applyAlignment="1">
      <alignment horizontal="center" vertical="center" wrapText="1"/>
    </xf>
    <xf numFmtId="0" fontId="7" fillId="0" borderId="27" xfId="1" applyNumberFormat="1" applyFont="1" applyFill="1" applyBorder="1" applyAlignment="1">
      <alignment horizontal="center" vertical="center" wrapText="1"/>
    </xf>
    <xf numFmtId="0" fontId="7" fillId="0" borderId="27" xfId="1" applyNumberFormat="1" applyFont="1" applyFill="1" applyBorder="1" applyAlignment="1" applyProtection="1">
      <alignment horizontal="left" vertical="center" wrapText="1"/>
      <protection locked="0"/>
    </xf>
    <xf numFmtId="0" fontId="7" fillId="0" borderId="28" xfId="1" applyNumberFormat="1" applyFont="1" applyFill="1" applyBorder="1" applyAlignment="1" applyProtection="1">
      <alignment horizontal="left" vertical="center" wrapText="1"/>
      <protection locked="0"/>
    </xf>
    <xf numFmtId="0" fontId="7" fillId="0" borderId="24" xfId="0" applyFont="1" applyBorder="1" applyAlignment="1">
      <alignment horizontal="left" vertical="top" wrapText="1"/>
    </xf>
    <xf numFmtId="0" fontId="7" fillId="0" borderId="6" xfId="0" applyFont="1" applyBorder="1" applyAlignment="1">
      <alignment horizontal="left" vertical="top" wrapText="1"/>
    </xf>
    <xf numFmtId="0" fontId="7" fillId="0" borderId="2" xfId="0" applyFont="1" applyBorder="1" applyAlignment="1">
      <alignment horizontal="left" vertical="top" wrapText="1"/>
    </xf>
    <xf numFmtId="0" fontId="7" fillId="0" borderId="1" xfId="0" applyFont="1" applyBorder="1" applyAlignment="1" applyProtection="1">
      <alignment horizontal="left" vertical="top" wrapText="1"/>
      <protection locked="0"/>
    </xf>
    <xf numFmtId="0" fontId="7" fillId="0" borderId="1" xfId="0" applyFont="1" applyBorder="1" applyAlignment="1">
      <alignment horizontal="left" vertical="top" wrapText="1"/>
    </xf>
    <xf numFmtId="0" fontId="7" fillId="0" borderId="25" xfId="0" applyFont="1" applyBorder="1" applyAlignment="1" applyProtection="1">
      <alignment horizontal="left" vertical="top" wrapText="1"/>
      <protection locked="0"/>
    </xf>
    <xf numFmtId="0" fontId="7" fillId="0" borderId="22" xfId="0" applyFont="1" applyBorder="1" applyAlignment="1">
      <alignment horizontal="left" vertical="top" wrapText="1"/>
    </xf>
    <xf numFmtId="0" fontId="7" fillId="0" borderId="25" xfId="0" applyFont="1" applyBorder="1" applyAlignment="1">
      <alignment horizontal="left" vertical="top" wrapText="1"/>
    </xf>
    <xf numFmtId="0" fontId="7" fillId="0" borderId="26" xfId="0" applyFont="1" applyBorder="1" applyAlignment="1" applyProtection="1">
      <alignment horizontal="left" vertical="top" wrapText="1"/>
      <protection locked="0"/>
    </xf>
    <xf numFmtId="0" fontId="7" fillId="0" borderId="27" xfId="0" applyFont="1" applyBorder="1" applyAlignment="1" applyProtection="1">
      <alignment horizontal="left" vertical="top" wrapText="1"/>
      <protection locked="0"/>
    </xf>
    <xf numFmtId="0" fontId="7" fillId="0" borderId="28" xfId="0" applyFont="1" applyBorder="1" applyAlignment="1" applyProtection="1">
      <alignment horizontal="left" vertical="top" wrapText="1"/>
      <protection locked="0"/>
    </xf>
    <xf numFmtId="0" fontId="17" fillId="10" borderId="19" xfId="0" applyFont="1" applyFill="1" applyBorder="1" applyAlignment="1">
      <alignment horizontal="left" vertical="top" wrapText="1"/>
    </xf>
    <xf numFmtId="0" fontId="17" fillId="10" borderId="20" xfId="0" applyFont="1" applyFill="1" applyBorder="1" applyAlignment="1">
      <alignment horizontal="left" vertical="top" wrapText="1"/>
    </xf>
    <xf numFmtId="0" fontId="17" fillId="10" borderId="21" xfId="0" applyFont="1" applyFill="1" applyBorder="1" applyAlignment="1">
      <alignment horizontal="left" vertical="top" wrapText="1"/>
    </xf>
    <xf numFmtId="0" fontId="5" fillId="11" borderId="1" xfId="0" applyFont="1" applyFill="1" applyBorder="1" applyAlignment="1">
      <alignment horizontal="left" vertical="center" wrapText="1"/>
    </xf>
    <xf numFmtId="0" fontId="7" fillId="0" borderId="3" xfId="0" applyFont="1" applyBorder="1" applyAlignment="1">
      <alignment horizontal="center" vertical="center" wrapText="1"/>
    </xf>
    <xf numFmtId="0" fontId="7" fillId="0" borderId="6" xfId="0" applyFont="1" applyBorder="1" applyAlignment="1">
      <alignment horizontal="center" vertical="center" wrapText="1"/>
    </xf>
    <xf numFmtId="0" fontId="7" fillId="0" borderId="2" xfId="0" applyFont="1" applyBorder="1" applyAlignment="1">
      <alignment horizontal="center" vertical="center" wrapText="1"/>
    </xf>
    <xf numFmtId="0" fontId="17" fillId="10" borderId="29" xfId="0" applyFont="1" applyFill="1" applyBorder="1" applyAlignment="1">
      <alignment horizontal="left" vertical="top" wrapText="1"/>
    </xf>
    <xf numFmtId="0" fontId="17" fillId="10" borderId="30" xfId="0" applyFont="1" applyFill="1" applyBorder="1" applyAlignment="1">
      <alignment horizontal="left" vertical="top" wrapText="1"/>
    </xf>
    <xf numFmtId="0" fontId="17" fillId="10" borderId="31" xfId="0" applyFont="1" applyFill="1" applyBorder="1" applyAlignment="1">
      <alignment horizontal="left" vertical="top" wrapText="1"/>
    </xf>
    <xf numFmtId="0" fontId="7" fillId="0" borderId="32" xfId="0" applyFont="1" applyBorder="1" applyAlignment="1">
      <alignment horizontal="left" vertical="top" wrapText="1"/>
    </xf>
    <xf numFmtId="0" fontId="7" fillId="0" borderId="33" xfId="0" applyFont="1" applyBorder="1" applyAlignment="1">
      <alignment horizontal="left" vertical="top" wrapText="1"/>
    </xf>
    <xf numFmtId="0" fontId="7" fillId="0" borderId="34" xfId="0" applyFont="1" applyBorder="1" applyAlignment="1" applyProtection="1">
      <alignment horizontal="left" vertical="top" wrapText="1"/>
      <protection locked="0"/>
    </xf>
    <xf numFmtId="0" fontId="7" fillId="0" borderId="35" xfId="0" applyFont="1" applyBorder="1" applyAlignment="1" applyProtection="1">
      <alignment horizontal="left" vertical="top" wrapText="1"/>
      <protection locked="0"/>
    </xf>
    <xf numFmtId="0" fontId="5" fillId="0" borderId="24"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7" fillId="0" borderId="1" xfId="0" applyFont="1" applyFill="1" applyBorder="1" applyAlignment="1" applyProtection="1">
      <alignment horizontal="left" vertical="center" wrapText="1"/>
      <protection locked="0" hidden="1"/>
    </xf>
    <xf numFmtId="0" fontId="7" fillId="0" borderId="25" xfId="0" applyFont="1" applyFill="1" applyBorder="1" applyAlignment="1" applyProtection="1">
      <alignment horizontal="left" vertical="center" wrapText="1"/>
      <protection locked="0" hidden="1"/>
    </xf>
    <xf numFmtId="0" fontId="12" fillId="9" borderId="19" xfId="0" applyFont="1" applyFill="1" applyBorder="1" applyAlignment="1">
      <alignment horizontal="center" vertical="top"/>
    </xf>
    <xf numFmtId="0" fontId="12" fillId="9" borderId="20" xfId="0" applyFont="1" applyFill="1" applyBorder="1" applyAlignment="1">
      <alignment horizontal="center" vertical="top"/>
    </xf>
    <xf numFmtId="0" fontId="12" fillId="9" borderId="21" xfId="0" applyFont="1" applyFill="1" applyBorder="1" applyAlignment="1">
      <alignment horizontal="center" vertical="top"/>
    </xf>
    <xf numFmtId="0" fontId="11" fillId="0" borderId="22" xfId="0" applyFont="1" applyBorder="1" applyAlignment="1">
      <alignment horizontal="center" vertical="center"/>
    </xf>
    <xf numFmtId="0" fontId="11" fillId="0" borderId="1" xfId="0" applyFont="1" applyBorder="1" applyAlignment="1">
      <alignment horizontal="center" vertical="center"/>
    </xf>
    <xf numFmtId="0" fontId="4" fillId="8" borderId="1" xfId="0" applyFont="1" applyFill="1" applyBorder="1" applyAlignment="1" applyProtection="1">
      <alignment horizontal="left" vertical="center" wrapText="1"/>
      <protection hidden="1"/>
    </xf>
    <xf numFmtId="0" fontId="11" fillId="0" borderId="6" xfId="0" applyFont="1" applyBorder="1" applyAlignment="1">
      <alignment horizontal="center" vertical="center"/>
    </xf>
    <xf numFmtId="0" fontId="11" fillId="0" borderId="2" xfId="0" applyFont="1" applyBorder="1" applyAlignment="1">
      <alignment horizontal="center" vertical="center"/>
    </xf>
    <xf numFmtId="0" fontId="4" fillId="8" borderId="3" xfId="0" applyFont="1" applyFill="1" applyBorder="1" applyAlignment="1" applyProtection="1">
      <alignment horizontal="center" vertical="center" wrapText="1"/>
      <protection hidden="1"/>
    </xf>
    <xf numFmtId="0" fontId="4" fillId="8" borderId="23" xfId="0" applyFont="1" applyFill="1" applyBorder="1" applyAlignment="1" applyProtection="1">
      <alignment horizontal="center" vertical="center" wrapText="1"/>
      <protection hidden="1"/>
    </xf>
    <xf numFmtId="0" fontId="7" fillId="8" borderId="3" xfId="0" applyFont="1" applyFill="1" applyBorder="1" applyAlignment="1" applyProtection="1">
      <alignment horizontal="left" vertical="center" wrapText="1"/>
      <protection hidden="1"/>
    </xf>
    <xf numFmtId="0" fontId="7" fillId="8" borderId="23" xfId="0" applyFont="1" applyFill="1" applyBorder="1" applyAlignment="1" applyProtection="1">
      <alignment horizontal="left" vertical="center" wrapText="1"/>
      <protection hidden="1"/>
    </xf>
    <xf numFmtId="44" fontId="8" fillId="8" borderId="1" xfId="0" applyNumberFormat="1" applyFont="1" applyFill="1" applyBorder="1" applyAlignment="1" applyProtection="1">
      <alignment horizontal="center" vertical="top" wrapText="1"/>
      <protection hidden="1"/>
    </xf>
    <xf numFmtId="0" fontId="8" fillId="8" borderId="1" xfId="0" applyFont="1" applyFill="1" applyBorder="1" applyAlignment="1" applyProtection="1">
      <alignment horizontal="center" vertical="top" wrapText="1"/>
      <protection hidden="1"/>
    </xf>
    <xf numFmtId="0" fontId="8" fillId="0" borderId="1" xfId="0" applyFont="1" applyBorder="1" applyAlignment="1" applyProtection="1">
      <alignment horizontal="center" vertical="top" wrapText="1"/>
      <protection locked="0"/>
    </xf>
    <xf numFmtId="44" fontId="9" fillId="0" borderId="3" xfId="1" applyFont="1" applyFill="1" applyBorder="1" applyAlignment="1" applyProtection="1">
      <alignment horizontal="center" vertical="top" wrapText="1"/>
      <protection locked="0"/>
    </xf>
    <xf numFmtId="44" fontId="9" fillId="0" borderId="6" xfId="1" applyFont="1" applyFill="1" applyBorder="1" applyAlignment="1" applyProtection="1">
      <alignment horizontal="center" vertical="top" wrapText="1"/>
      <protection locked="0"/>
    </xf>
    <xf numFmtId="44" fontId="9" fillId="0" borderId="2" xfId="1" applyFont="1" applyFill="1" applyBorder="1" applyAlignment="1" applyProtection="1">
      <alignment horizontal="center" vertical="top" wrapText="1"/>
      <protection locked="0"/>
    </xf>
    <xf numFmtId="0" fontId="4" fillId="0" borderId="1" xfId="0" applyFont="1" applyBorder="1" applyAlignment="1">
      <alignment horizontal="left" vertical="top" wrapText="1"/>
    </xf>
    <xf numFmtId="0" fontId="5" fillId="11" borderId="1" xfId="0" applyFont="1" applyFill="1" applyBorder="1" applyAlignment="1">
      <alignment horizontal="left" vertical="top" wrapText="1"/>
    </xf>
    <xf numFmtId="44" fontId="8" fillId="8" borderId="3" xfId="0" applyNumberFormat="1" applyFont="1" applyFill="1" applyBorder="1" applyAlignment="1" applyProtection="1">
      <alignment horizontal="center" vertical="top" wrapText="1"/>
      <protection hidden="1"/>
    </xf>
    <xf numFmtId="0" fontId="8" fillId="8" borderId="6" xfId="0" applyFont="1" applyFill="1" applyBorder="1" applyAlignment="1" applyProtection="1">
      <alignment horizontal="center" vertical="top" wrapText="1"/>
      <protection hidden="1"/>
    </xf>
    <xf numFmtId="0" fontId="8" fillId="8" borderId="2" xfId="0" applyFont="1" applyFill="1" applyBorder="1" applyAlignment="1" applyProtection="1">
      <alignment horizontal="center" vertical="top" wrapText="1"/>
      <protection hidden="1"/>
    </xf>
    <xf numFmtId="0" fontId="8" fillId="0" borderId="3" xfId="0" applyFont="1" applyBorder="1" applyAlignment="1" applyProtection="1">
      <alignment horizontal="center" vertical="top" wrapText="1"/>
      <protection locked="0"/>
    </xf>
    <xf numFmtId="0" fontId="8" fillId="0" borderId="2" xfId="0" applyFont="1" applyBorder="1" applyAlignment="1" applyProtection="1">
      <alignment horizontal="center" vertical="top" wrapText="1"/>
      <protection locked="0"/>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9" xfId="0" applyFont="1" applyBorder="1" applyAlignment="1">
      <alignment horizontal="center" vertical="top" wrapText="1"/>
    </xf>
    <xf numFmtId="0" fontId="5" fillId="0" borderId="7" xfId="0" applyFont="1" applyBorder="1" applyAlignment="1">
      <alignment horizontal="center" vertical="top" wrapText="1"/>
    </xf>
    <xf numFmtId="0" fontId="5" fillId="0" borderId="10" xfId="0" applyFont="1" applyBorder="1" applyAlignment="1">
      <alignment horizontal="center" vertical="top" wrapText="1"/>
    </xf>
    <xf numFmtId="0" fontId="5" fillId="0" borderId="8" xfId="0" applyFont="1" applyBorder="1" applyAlignment="1">
      <alignment horizontal="center" vertical="top" wrapText="1"/>
    </xf>
    <xf numFmtId="0" fontId="7" fillId="0" borderId="5" xfId="0" applyFont="1" applyBorder="1" applyAlignment="1">
      <alignment horizontal="center" vertical="top" wrapText="1"/>
    </xf>
    <xf numFmtId="0" fontId="7" fillId="0" borderId="39" xfId="0" applyFont="1" applyBorder="1" applyAlignment="1">
      <alignment horizontal="center" vertical="top" wrapText="1"/>
    </xf>
    <xf numFmtId="0" fontId="7" fillId="0" borderId="18" xfId="0" applyFont="1" applyBorder="1" applyAlignment="1">
      <alignment horizontal="center" vertical="top" wrapText="1"/>
    </xf>
    <xf numFmtId="44" fontId="8" fillId="0" borderId="1" xfId="1" applyFont="1" applyFill="1" applyBorder="1" applyAlignment="1">
      <alignment horizontal="center" vertical="center" wrapText="1"/>
    </xf>
    <xf numFmtId="44" fontId="8" fillId="0" borderId="1" xfId="1" applyFont="1" applyFill="1" applyBorder="1" applyAlignment="1" applyProtection="1">
      <alignment horizontal="left" vertical="top" wrapText="1"/>
      <protection locked="0"/>
    </xf>
    <xf numFmtId="44" fontId="9" fillId="0" borderId="1" xfId="1" applyFont="1" applyFill="1" applyBorder="1" applyAlignment="1" applyProtection="1">
      <alignment horizontal="left" vertical="top" wrapText="1"/>
      <protection locked="0"/>
    </xf>
    <xf numFmtId="44" fontId="9" fillId="12" borderId="1" xfId="1" applyFont="1" applyFill="1" applyBorder="1" applyAlignment="1">
      <alignment horizontal="center" vertical="top" wrapText="1"/>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9" xfId="0" applyFont="1" applyBorder="1" applyAlignment="1">
      <alignment horizontal="center" vertical="center" wrapText="1"/>
    </xf>
    <xf numFmtId="0" fontId="5" fillId="0" borderId="7"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8" xfId="0" applyFont="1" applyBorder="1" applyAlignment="1">
      <alignment horizontal="center" vertical="center" wrapText="1"/>
    </xf>
    <xf numFmtId="0" fontId="5" fillId="0" borderId="1" xfId="0" applyFont="1" applyBorder="1" applyAlignment="1">
      <alignment horizontal="center" vertical="top" wrapText="1"/>
    </xf>
    <xf numFmtId="44" fontId="9" fillId="0" borderId="1" xfId="1" applyFont="1" applyFill="1" applyBorder="1" applyAlignment="1" applyProtection="1">
      <alignment horizontal="right" wrapText="1"/>
      <protection locked="0"/>
    </xf>
    <xf numFmtId="0" fontId="8" fillId="0" borderId="1" xfId="0" applyFont="1" applyBorder="1" applyAlignment="1">
      <alignment horizontal="center" vertical="top" wrapText="1"/>
    </xf>
    <xf numFmtId="44" fontId="9" fillId="0" borderId="1" xfId="1" applyFont="1" applyFill="1" applyBorder="1" applyAlignment="1" applyProtection="1">
      <alignment horizontal="center" wrapText="1"/>
      <protection locked="0"/>
    </xf>
    <xf numFmtId="164" fontId="9" fillId="0" borderId="1" xfId="0" applyNumberFormat="1" applyFont="1" applyBorder="1" applyAlignment="1" applyProtection="1">
      <alignment horizontal="right" wrapText="1"/>
      <protection locked="0"/>
    </xf>
    <xf numFmtId="44" fontId="9" fillId="0" borderId="1" xfId="0" applyNumberFormat="1" applyFont="1" applyBorder="1" applyAlignment="1" applyProtection="1">
      <alignment horizontal="center" vertical="top" wrapText="1"/>
      <protection locked="0"/>
    </xf>
    <xf numFmtId="0" fontId="9" fillId="12" borderId="1" xfId="0" applyFont="1" applyFill="1" applyBorder="1" applyAlignment="1">
      <alignment horizontal="center" vertical="top" wrapText="1"/>
    </xf>
    <xf numFmtId="44" fontId="9" fillId="0" borderId="1" xfId="1" applyFont="1" applyFill="1" applyBorder="1" applyAlignment="1" applyProtection="1">
      <alignment horizontal="center" vertical="top"/>
      <protection locked="0"/>
    </xf>
    <xf numFmtId="0" fontId="4" fillId="0" borderId="1" xfId="0" applyFont="1" applyBorder="1" applyAlignment="1">
      <alignment horizontal="center" vertical="top" wrapText="1"/>
    </xf>
    <xf numFmtId="44" fontId="9" fillId="0" borderId="1" xfId="0" applyNumberFormat="1" applyFont="1" applyBorder="1" applyAlignment="1" applyProtection="1">
      <alignment horizontal="left" wrapText="1"/>
      <protection locked="0"/>
    </xf>
    <xf numFmtId="0" fontId="4" fillId="0" borderId="5" xfId="0" applyFont="1" applyBorder="1" applyAlignment="1">
      <alignment horizontal="center" vertical="top" wrapText="1"/>
    </xf>
    <xf numFmtId="0" fontId="4" fillId="0" borderId="39" xfId="0" applyFont="1" applyBorder="1" applyAlignment="1">
      <alignment horizontal="center" vertical="top" wrapText="1"/>
    </xf>
    <xf numFmtId="0" fontId="4" fillId="0" borderId="18" xfId="0" applyFont="1" applyBorder="1" applyAlignment="1">
      <alignment horizontal="center" vertical="top" wrapText="1"/>
    </xf>
    <xf numFmtId="0" fontId="9" fillId="0" borderId="1" xfId="0" applyFont="1" applyBorder="1" applyAlignment="1">
      <alignment horizontal="center" vertical="top" wrapText="1"/>
    </xf>
    <xf numFmtId="0" fontId="9" fillId="0" borderId="1" xfId="0" applyFont="1" applyBorder="1" applyAlignment="1" applyProtection="1">
      <alignment horizontal="center" vertical="top" wrapText="1"/>
      <protection locked="0"/>
    </xf>
    <xf numFmtId="44" fontId="9" fillId="0" borderId="1" xfId="0" applyNumberFormat="1" applyFont="1" applyBorder="1" applyAlignment="1" applyProtection="1">
      <alignment horizontal="right" vertical="top" wrapText="1"/>
      <protection locked="0"/>
    </xf>
    <xf numFmtId="0" fontId="8" fillId="0" borderId="3" xfId="0" applyFont="1" applyBorder="1" applyAlignment="1">
      <alignment horizontal="left" vertical="top" wrapText="1"/>
    </xf>
    <xf numFmtId="0" fontId="8" fillId="0" borderId="6" xfId="0" applyFont="1" applyBorder="1" applyAlignment="1">
      <alignment horizontal="left" vertical="top" wrapText="1"/>
    </xf>
    <xf numFmtId="0" fontId="8" fillId="0" borderId="2" xfId="0" applyFont="1" applyBorder="1" applyAlignment="1">
      <alignment horizontal="left" vertical="top" wrapText="1"/>
    </xf>
    <xf numFmtId="0" fontId="18" fillId="0" borderId="37" xfId="0" applyFont="1" applyBorder="1" applyAlignment="1">
      <alignment horizontal="left" vertical="top" wrapText="1"/>
    </xf>
    <xf numFmtId="0" fontId="18" fillId="0" borderId="4" xfId="0" applyFont="1" applyBorder="1" applyAlignment="1">
      <alignment horizontal="left" vertical="top" wrapText="1"/>
    </xf>
    <xf numFmtId="0" fontId="18" fillId="0" borderId="41" xfId="0" applyFont="1" applyBorder="1" applyAlignment="1">
      <alignment horizontal="left" vertical="top" wrapText="1"/>
    </xf>
    <xf numFmtId="0" fontId="9" fillId="0" borderId="1" xfId="0" applyFont="1" applyBorder="1" applyAlignment="1" applyProtection="1">
      <alignment horizontal="left" vertical="top" wrapText="1"/>
      <protection locked="0"/>
    </xf>
    <xf numFmtId="49" fontId="11" fillId="0" borderId="14" xfId="0" applyNumberFormat="1" applyFont="1" applyBorder="1" applyAlignment="1">
      <alignment horizontal="center" vertical="top"/>
    </xf>
    <xf numFmtId="49" fontId="11" fillId="0" borderId="17" xfId="0" applyNumberFormat="1" applyFont="1" applyBorder="1" applyAlignment="1">
      <alignment horizontal="center" vertical="top"/>
    </xf>
    <xf numFmtId="49" fontId="11" fillId="0" borderId="15" xfId="0" applyNumberFormat="1" applyFont="1" applyBorder="1" applyAlignment="1">
      <alignment horizontal="center" vertical="top"/>
    </xf>
    <xf numFmtId="0" fontId="19" fillId="0" borderId="22" xfId="0" applyFont="1" applyBorder="1" applyAlignment="1">
      <alignment horizontal="right" vertical="center" wrapText="1"/>
    </xf>
    <xf numFmtId="0" fontId="19" fillId="0" borderId="1" xfId="0" applyFont="1" applyBorder="1" applyAlignment="1">
      <alignment horizontal="right" vertical="center" wrapText="1"/>
    </xf>
    <xf numFmtId="0" fontId="19" fillId="0" borderId="1" xfId="0" applyFont="1" applyBorder="1" applyAlignment="1" applyProtection="1">
      <alignment horizontal="left" vertical="top" wrapText="1"/>
      <protection locked="0"/>
    </xf>
    <xf numFmtId="0" fontId="19" fillId="0" borderId="42" xfId="0" applyFont="1" applyBorder="1" applyAlignment="1">
      <alignment horizontal="right" vertical="center" wrapText="1"/>
    </xf>
    <xf numFmtId="0" fontId="19" fillId="0" borderId="5" xfId="0" applyFont="1" applyBorder="1" applyAlignment="1">
      <alignment horizontal="right" vertical="center" wrapText="1"/>
    </xf>
    <xf numFmtId="0" fontId="20" fillId="0" borderId="5" xfId="0" applyFont="1" applyBorder="1" applyAlignment="1" applyProtection="1">
      <alignment horizontal="left" vertical="top"/>
      <protection locked="0"/>
    </xf>
    <xf numFmtId="0" fontId="5" fillId="11" borderId="22" xfId="0" applyFont="1" applyFill="1" applyBorder="1" applyAlignment="1">
      <alignment horizontal="left" vertical="top" wrapText="1"/>
    </xf>
    <xf numFmtId="0" fontId="18" fillId="0" borderId="40" xfId="0" applyFont="1" applyBorder="1" applyAlignment="1">
      <alignment horizontal="left" vertical="top" wrapText="1"/>
    </xf>
    <xf numFmtId="0" fontId="18" fillId="0" borderId="34" xfId="0" applyFont="1" applyBorder="1" applyAlignment="1">
      <alignment horizontal="left" vertical="top" wrapText="1"/>
    </xf>
    <xf numFmtId="0" fontId="18" fillId="0" borderId="35" xfId="0" applyFont="1" applyBorder="1" applyAlignment="1">
      <alignment horizontal="left" vertical="top" wrapText="1"/>
    </xf>
    <xf numFmtId="0" fontId="8" fillId="0" borderId="3" xfId="0" applyFont="1" applyBorder="1" applyAlignment="1">
      <alignment horizontal="left"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44" fontId="8" fillId="0" borderId="3" xfId="1" applyFont="1" applyFill="1" applyBorder="1" applyAlignment="1" applyProtection="1">
      <alignment horizontal="center" vertical="top" wrapText="1"/>
      <protection locked="0"/>
    </xf>
    <xf numFmtId="44" fontId="8" fillId="0" borderId="6" xfId="1" applyFont="1" applyFill="1" applyBorder="1" applyAlignment="1" applyProtection="1">
      <alignment horizontal="center" vertical="top" wrapText="1"/>
      <protection locked="0"/>
    </xf>
    <xf numFmtId="44" fontId="8" fillId="0" borderId="2" xfId="1" applyFont="1" applyFill="1" applyBorder="1" applyAlignment="1" applyProtection="1">
      <alignment horizontal="center" vertical="top" wrapText="1"/>
      <protection locked="0"/>
    </xf>
    <xf numFmtId="44" fontId="8" fillId="0" borderId="1" xfId="1" applyFont="1" applyFill="1" applyBorder="1" applyAlignment="1">
      <alignment horizontal="left" vertical="top" wrapText="1"/>
    </xf>
    <xf numFmtId="0" fontId="5" fillId="0" borderId="12" xfId="0" applyFont="1" applyBorder="1" applyAlignment="1">
      <alignment horizontal="center" vertical="center"/>
    </xf>
    <xf numFmtId="0" fontId="5" fillId="0" borderId="4" xfId="0" applyFont="1" applyBorder="1" applyAlignment="1">
      <alignment horizontal="center" vertical="center"/>
    </xf>
    <xf numFmtId="0" fontId="5" fillId="0" borderId="13" xfId="0" applyFont="1" applyBorder="1" applyAlignment="1">
      <alignment horizontal="center" vertical="center"/>
    </xf>
    <xf numFmtId="0" fontId="5" fillId="0" borderId="12" xfId="0" applyFont="1" applyFill="1" applyBorder="1" applyAlignment="1">
      <alignment horizontal="center" vertical="center" readingOrder="1"/>
    </xf>
    <xf numFmtId="0" fontId="5" fillId="0" borderId="4" xfId="0" applyFont="1" applyFill="1" applyBorder="1" applyAlignment="1">
      <alignment horizontal="center" vertical="center" readingOrder="1"/>
    </xf>
    <xf numFmtId="0" fontId="5" fillId="0" borderId="13" xfId="0" applyFont="1" applyFill="1" applyBorder="1" applyAlignment="1">
      <alignment horizontal="center" vertical="center" readingOrder="1"/>
    </xf>
    <xf numFmtId="0" fontId="5" fillId="0" borderId="12"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13" xfId="0" applyFont="1" applyFill="1" applyBorder="1" applyAlignment="1">
      <alignment horizontal="center" vertical="center"/>
    </xf>
  </cellXfs>
  <cellStyles count="4">
    <cellStyle name="Comma" xfId="2" builtinId="3"/>
    <cellStyle name="Currency" xfId="1" builtinId="4"/>
    <cellStyle name="Normal" xfId="0" builtinId="0"/>
    <cellStyle name="Note" xfId="3" builtinId="10"/>
  </cellStyles>
  <dxfs count="113">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0" indent="0" justifyLastLine="0" shrinkToFit="0" readingOrder="0"/>
    </dxf>
    <dxf>
      <border outline="0">
        <left style="thin">
          <color indexed="64"/>
        </left>
        <right style="thin">
          <color indexed="64"/>
        </right>
        <bottom style="thin">
          <color indexed="64"/>
        </bottom>
      </border>
    </dxf>
    <dxf>
      <font>
        <b val="0"/>
        <i val="0"/>
        <strike val="0"/>
        <condense val="0"/>
        <extend val="0"/>
        <outline val="0"/>
        <shadow val="0"/>
        <u val="none"/>
        <vertAlign val="baseline"/>
        <sz val="10"/>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0" indent="0" justifyLastLine="0" shrinkToFit="0" readingOrder="0"/>
    </dxf>
    <dxf>
      <border outline="0">
        <left style="thin">
          <color indexed="64"/>
        </left>
        <right style="thin">
          <color indexed="64"/>
        </right>
        <bottom style="thin">
          <color indexed="64"/>
        </bottom>
      </border>
    </dxf>
    <dxf>
      <font>
        <b val="0"/>
        <i val="0"/>
        <strike val="0"/>
        <condense val="0"/>
        <extend val="0"/>
        <outline val="0"/>
        <shadow val="0"/>
        <u val="none"/>
        <vertAlign val="baseline"/>
        <sz val="10"/>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0" indent="0" justifyLastLine="0" shrinkToFit="0" readingOrder="0"/>
    </dxf>
    <dxf>
      <border outline="0">
        <left style="thin">
          <color indexed="64"/>
        </left>
        <right style="thin">
          <color indexed="64"/>
        </right>
        <bottom style="thin">
          <color indexed="64"/>
        </bottom>
      </border>
    </dxf>
    <dxf>
      <font>
        <b val="0"/>
        <i val="0"/>
        <strike val="0"/>
        <condense val="0"/>
        <extend val="0"/>
        <outline val="0"/>
        <shadow val="0"/>
        <u val="none"/>
        <vertAlign val="baseline"/>
        <sz val="10"/>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0" indent="0" justifyLastLine="0" shrinkToFit="0" readingOrder="0"/>
    </dxf>
    <dxf>
      <border outline="0">
        <left style="thin">
          <color indexed="64"/>
        </left>
        <right style="thin">
          <color indexed="64"/>
        </right>
        <bottom style="thin">
          <color indexed="64"/>
        </bottom>
      </border>
    </dxf>
    <dxf>
      <font>
        <b val="0"/>
        <i val="0"/>
        <strike val="0"/>
        <condense val="0"/>
        <extend val="0"/>
        <outline val="0"/>
        <shadow val="0"/>
        <u val="none"/>
        <vertAlign val="baseline"/>
        <sz val="10"/>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alignment horizontal="general" vertical="bottom" textRotation="0" wrapText="0" indent="0" justifyLastLine="0" shrinkToFit="0" readingOrder="0"/>
    </dxf>
    <dxf>
      <border outline="0">
        <left style="thin">
          <color indexed="64"/>
        </left>
        <right style="thin">
          <color indexed="64"/>
        </right>
        <bottom style="thin">
          <color indexed="64"/>
        </bottom>
      </border>
    </dxf>
    <dxf>
      <font>
        <b val="0"/>
        <i val="0"/>
        <strike val="0"/>
        <condense val="0"/>
        <extend val="0"/>
        <outline val="0"/>
        <shadow val="0"/>
        <u val="none"/>
        <vertAlign val="baseline"/>
        <sz val="10"/>
        <color auto="1"/>
        <name val="Calibri"/>
        <family val="2"/>
        <scheme val="minor"/>
      </font>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border outline="0">
        <left style="thin">
          <color indexed="64"/>
        </left>
        <right style="thin">
          <color indexed="64"/>
        </righ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bottom"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0" indent="0" justifyLastLine="0" shrinkToFit="0" readingOrder="0"/>
    </dxf>
    <dxf>
      <border outline="0">
        <left style="thin">
          <color indexed="64"/>
        </left>
        <bottom style="thin">
          <color indexed="64"/>
        </bottom>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left" vertical="top" textRotation="0" wrapText="0"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alignment horizontal="left" vertical="center" textRotation="0" wrapText="1" indent="0" justifyLastLine="0" shrinkToFit="0" readingOrder="0"/>
    </dxf>
    <dxf>
      <border outline="0">
        <left style="thin">
          <color indexed="64"/>
        </left>
      </border>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alignment horizontal="left" vertical="center" textRotation="0" wrapText="1" indent="0" justifyLastLine="0" shrinkToFit="0" readingOrder="0"/>
    </dxf>
    <dxf>
      <border outline="0">
        <left style="thin">
          <color indexed="64"/>
        </left>
      </border>
    </dxf>
    <dxf>
      <font>
        <b val="0"/>
        <i val="0"/>
        <strike val="0"/>
        <condense val="0"/>
        <extend val="0"/>
        <outline val="0"/>
        <shadow val="0"/>
        <u val="none"/>
        <vertAlign val="baseline"/>
        <sz val="10"/>
        <color rgb="FF000000"/>
        <name val="Calibri"/>
        <family val="2"/>
        <scheme val="minor"/>
      </font>
      <fill>
        <patternFill patternType="none">
          <fgColor indexed="64"/>
          <bgColor indexed="65"/>
        </patternFill>
      </fill>
      <alignment horizontal="left" vertical="center" textRotation="0" wrapText="1" indent="0" justifyLastLine="0" shrinkToFit="0" readingOrder="0"/>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0" indent="0" justifyLastLine="0" shrinkToFit="0" readingOrder="1"/>
      <border diagonalUp="0" diagonalDown="0">
        <left/>
        <right style="thin">
          <color indexed="64"/>
        </right>
        <top/>
        <bottom/>
        <vertical/>
        <horizontal/>
      </border>
    </dxf>
    <dxf>
      <border outline="0">
        <left style="thin">
          <color indexed="64"/>
        </left>
      </border>
    </dxf>
    <dxf>
      <font>
        <b val="0"/>
        <i val="0"/>
        <strike val="0"/>
        <condense val="0"/>
        <extend val="0"/>
        <outline val="0"/>
        <shadow val="0"/>
        <u val="none"/>
        <vertAlign val="baseline"/>
        <sz val="10"/>
        <color auto="1"/>
        <name val="Calibri"/>
        <family val="2"/>
        <scheme val="minor"/>
      </font>
      <fill>
        <patternFill patternType="none">
          <fgColor indexed="64"/>
          <bgColor indexed="65"/>
        </patternFill>
      </fill>
      <alignment horizontal="general" vertical="top" textRotation="0" wrapText="0" indent="0" justifyLastLine="0" shrinkToFit="0" readingOrder="1"/>
    </dxf>
    <dxf>
      <font>
        <b/>
        <i val="0"/>
        <strike val="0"/>
        <condense val="0"/>
        <extend val="0"/>
        <outline val="0"/>
        <shadow val="0"/>
        <u val="none"/>
        <vertAlign val="baseline"/>
        <sz val="10"/>
        <color auto="1"/>
        <name val="Calibri"/>
        <family val="2"/>
        <scheme val="minor"/>
      </font>
      <fill>
        <patternFill patternType="none">
          <fgColor indexed="64"/>
          <bgColor indexed="65"/>
        </patternFill>
      </fill>
      <alignment horizontal="center" vertical="center" textRotation="0" wrapText="0" indent="0" justifyLastLine="0" shrinkToFit="0" readingOrder="0"/>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FFC7CE"/>
      <color rgb="FF9C0006"/>
      <color rgb="FFC9DB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18"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customXml" Target="../customXml/item5.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Sidney Beaty" id="{A85222FD-D697-49E1-87CA-D93F5D046083}" userId="S::Sidney.Beaty.glo@recovery.texas.gov::54abdb41-15fe-4512-baa5-d0102d707e83" providerId="AD"/>
  <person displayName="Stephen McDonald" id="{0A132C87-294F-4F6B-8D75-3461851457CF}" userId="S::Stephen.McDonald.glo@recovery.texas.gov::fea3d89d-b12a-4348-8a1b-6cf154386966" providerId="AD"/>
</personList>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BBFDF64D-B61D-4F33-907B-728E1F92F939}" name="RHP" displayName="RHP" ref="I82:I87" totalsRowShown="0" headerRowDxfId="99" dataDxfId="98" tableBorderDxfId="97">
  <autoFilter ref="I82:I87" xr:uid="{BBFDF64D-B61D-4F33-907B-728E1F92F939}"/>
  <tableColumns count="1">
    <tableColumn id="1" xr3:uid="{634B6ABB-623F-4B62-8105-52C0FDC68779}" name="Builder" dataDxfId="96"/>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CFFC5C84-70AC-4B6E-B29D-77E300E83042}" name="JW_Turner_Resil_Wood" displayName="JW_Turner_Resil_Wood" ref="Y170:Y188" totalsRowShown="0" headerRowDxfId="63" dataDxfId="62" tableBorderDxfId="61">
  <autoFilter ref="Y170:Y188" xr:uid="{CFFC5C84-70AC-4B6E-B29D-77E300E83042}"/>
  <tableColumns count="1">
    <tableColumn id="1" xr3:uid="{22623A62-35AA-4960-B16A-1F4C16E9E92C}" name="Plan Options" dataDxfId="60"/>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7DCF7672-9984-460C-96C2-3CDD1675183F}" name="Brizo" displayName="Brizo" ref="Y193:Y232" totalsRowShown="0" headerRowDxfId="59" dataDxfId="58" tableBorderDxfId="57">
  <autoFilter ref="Y193:Y232" xr:uid="{7DCF7672-9984-460C-96C2-3CDD1675183F}"/>
  <tableColumns count="1">
    <tableColumn id="1" xr3:uid="{80052B02-5ABA-4371-BE71-789B250F411E}" name="Plan Options" dataDxfId="56"/>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67C79989-FDEF-44A9-8AFB-40422B811CF1}" name="Brydson" displayName="Brydson" ref="Y236:Y275" totalsRowShown="0" headerRowDxfId="55" dataDxfId="54" tableBorderDxfId="53">
  <autoFilter ref="Y236:Y275" xr:uid="{67C79989-FDEF-44A9-8AFB-40422B811CF1}"/>
  <tableColumns count="1">
    <tableColumn id="1" xr3:uid="{F1F30E20-E563-4EAB-9340-5567BAE7440D}" name="Plan Options" dataDxfId="52"/>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51894B90-B95A-4FC9-BDF8-899D8ECC41B8}" name="Core" displayName="Core" ref="Y279:Y318" totalsRowShown="0" headerRowDxfId="51" dataDxfId="50" tableBorderDxfId="49">
  <autoFilter ref="Y279:Y318" xr:uid="{51894B90-B95A-4FC9-BDF8-899D8ECC41B8}"/>
  <tableColumns count="1">
    <tableColumn id="1" xr3:uid="{914C6F1D-3FFA-4493-BE07-1B5CCCF69049}" name="Plan Options" dataDxfId="48"/>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6" xr:uid="{E3E55FEE-357D-4EC9-A927-FFB665DB4B24}" name="DRC" displayName="DRC" ref="Y322:Y361" totalsRowShown="0" headerRowDxfId="47" dataDxfId="46" tableBorderDxfId="45">
  <autoFilter ref="Y322:Y361" xr:uid="{E3E55FEE-357D-4EC9-A927-FFB665DB4B24}"/>
  <tableColumns count="1">
    <tableColumn id="1" xr3:uid="{A77DEA27-DE7B-42A6-BEC4-B25A24D7B68D}" name="Plan Options" dataDxfId="44"/>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A96DE162-EC4A-4034-ADBC-F84F761385BA}" name="DSW" displayName="DSW" ref="Y365:Y404" totalsRowShown="0" headerRowDxfId="43" dataDxfId="42" tableBorderDxfId="41">
  <autoFilter ref="Y365:Y404" xr:uid="{A96DE162-EC4A-4034-ADBC-F84F761385BA}"/>
  <tableColumns count="1">
    <tableColumn id="1" xr3:uid="{8EC524DD-FB33-4AD2-AD2F-A8EF8EB2A19B}" name="Plan Options" dataDxfId="40"/>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BFBE0A3D-8748-4951-A81D-E54CA3D24C27}" name="Ducky" displayName="Ducky" ref="Y408:Y447" totalsRowShown="0" headerRowDxfId="39" dataDxfId="38" tableBorderDxfId="37">
  <autoFilter ref="Y408:Y447" xr:uid="{BFBE0A3D-8748-4951-A81D-E54CA3D24C27}"/>
  <tableColumns count="1">
    <tableColumn id="1" xr3:uid="{4BAD55BC-06D2-485F-BCC5-4AC13B6A5AE5}" name="Plan Options" dataDxfId="36"/>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C6E81B40-D0D3-4C0E-8C78-665D8D77361F}" name="JW_Turner" displayName="JW_Turner" ref="Y451:Y490" totalsRowShown="0" headerRowDxfId="35" dataDxfId="34" tableBorderDxfId="33">
  <autoFilter ref="Y451:Y490" xr:uid="{C6E81B40-D0D3-4C0E-8C78-665D8D77361F}"/>
  <tableColumns count="1">
    <tableColumn id="1" xr3:uid="{11FF2E79-7AC0-4BE6-89D6-BB327C3E5C19}" name="Plan Options" dataDxfId="32"/>
  </tableColumns>
  <tableStyleInfo name="TableStyleMedium9"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15DF43C1-552D-4FA9-B13E-2FC29EF767B2}" name="Lemoine" displayName="Lemoine" ref="Y494:Y533" totalsRowShown="0" headerRowDxfId="31" dataDxfId="30" tableBorderDxfId="29">
  <autoFilter ref="Y494:Y533" xr:uid="{15DF43C1-552D-4FA9-B13E-2FC29EF767B2}"/>
  <tableColumns count="1">
    <tableColumn id="1" xr3:uid="{DEC925EB-6FC6-477B-BF12-2CD00DEA165A}" name="Plan Options" dataDxfId="28"/>
  </tableColumns>
  <tableStyleInfo name="TableStyleMedium9"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ACEA00EE-EE25-4DB8-84B0-050F7D915B9E}" name="RM_Quality" displayName="RM_Quality" ref="Y537:Y576" totalsRowShown="0" headerRowDxfId="27" dataDxfId="26" tableBorderDxfId="25">
  <autoFilter ref="Y537:Y576" xr:uid="{ACEA00EE-EE25-4DB8-84B0-050F7D915B9E}"/>
  <tableColumns count="1">
    <tableColumn id="1" xr3:uid="{3E8419B8-A81A-4478-A2F1-6C8E21260A60}" name="Plan Options" dataDxfId="24"/>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91CB3B46-F63A-4E5E-839A-0998DA70532E}" name="Events_2018_2019" displayName="Events_2018_2019" ref="I62:I73" totalsRowShown="0" headerRowDxfId="95" dataDxfId="94" tableBorderDxfId="93">
  <autoFilter ref="I62:I73" xr:uid="{91CB3B46-F63A-4E5E-839A-0998DA70532E}"/>
  <tableColumns count="1">
    <tableColumn id="1" xr3:uid="{069EC28E-00EE-4770-9385-6924A07E32C8}" name="Builder" dataDxfId="92"/>
  </tableColumns>
  <tableStyleInfo name="TableStyleMedium9"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66C35179-892A-4D3B-9BDB-B112746FEA12}" name="Stonewater" displayName="Stonewater" ref="Y580:Y619" totalsRowShown="0" headerRowDxfId="23" dataDxfId="22" tableBorderDxfId="21">
  <autoFilter ref="Y580:Y619" xr:uid="{66C35179-892A-4D3B-9BDB-B112746FEA12}"/>
  <tableColumns count="1">
    <tableColumn id="1" xr3:uid="{C74DA1FC-56DB-492D-9E56-B7F2F6D821BF}" name="Plan Options" dataDxfId="20"/>
  </tableColumns>
  <tableStyleInfo name="TableStyleMedium9"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FAA3E186-112D-4E43-8010-91C670F07455}" name="Sullivan_SLSCO" displayName="Sullivan_SLSCO" ref="Y623:Y662" totalsRowShown="0" headerRowDxfId="19" dataDxfId="18" tableBorderDxfId="17">
  <autoFilter ref="Y623:Y662" xr:uid="{FAA3E186-112D-4E43-8010-91C670F07455}"/>
  <tableColumns count="1">
    <tableColumn id="1" xr3:uid="{BC2560E0-19D9-4161-ACA1-0D9EB9DC1341}" name="Plan Options" dataDxfId="16"/>
  </tableColumns>
  <tableStyleInfo name="TableStyleMedium9"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4C40C297-1687-45F8-A033-4305CD62F3A2}" name="Tegrity" displayName="Tegrity" ref="Y666:Y705" totalsRowShown="0" headerRowDxfId="15" dataDxfId="14" tableBorderDxfId="13">
  <autoFilter ref="Y666:Y705" xr:uid="{4C40C297-1687-45F8-A033-4305CD62F3A2}"/>
  <tableColumns count="1">
    <tableColumn id="1" xr3:uid="{CFEFA75D-FDD6-4F5B-A43E-E6B8998D6C79}" name="Plan Options" dataDxfId="12"/>
  </tableColumns>
  <tableStyleInfo name="TableStyleMedium9"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21607A37-F0D7-4C46-AF44-7001AF2B16BF}" name="Thompson" displayName="Thompson" ref="Y709:Y748" totalsRowShown="0" headerRowDxfId="11" dataDxfId="10" tableBorderDxfId="9">
  <autoFilter ref="Y709:Y748" xr:uid="{21607A37-F0D7-4C46-AF44-7001AF2B16BF}"/>
  <tableColumns count="1">
    <tableColumn id="1" xr3:uid="{6E8C6909-1FBC-4C9D-BEAA-7115EE1FBA57}" name="Plan Options" dataDxfId="8"/>
  </tableColumns>
  <tableStyleInfo name="TableStyleMedium9"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6" xr:uid="{1F4D8359-7AC3-4487-9F6F-1E63877DECAE}" name="TKTMJ" displayName="TKTMJ" ref="Y752:Y791" totalsRowShown="0" headerRowDxfId="7" dataDxfId="6" tableBorderDxfId="5">
  <autoFilter ref="Y752:Y791" xr:uid="{1F4D8359-7AC3-4487-9F6F-1E63877DECAE}"/>
  <tableColumns count="1">
    <tableColumn id="1" xr3:uid="{C759D96A-CB0A-43D4-895F-8911FC2923BE}" name="Plan Options" dataDxfId="4"/>
  </tableColumns>
  <tableStyleInfo name="TableStyleMedium9"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C07DA66D-4A79-481F-B4A2-98EB40013A98}" name="Yates" displayName="Yates" ref="Y795:Y834" totalsRowShown="0" headerRowDxfId="3" dataDxfId="2" tableBorderDxfId="1">
  <autoFilter ref="Y795:Y834" xr:uid="{C07DA66D-4A79-481F-B4A2-98EB40013A98}"/>
  <tableColumns count="1">
    <tableColumn id="1" xr3:uid="{B7FD8138-EEA0-42D5-BF6C-3937FB84FCE4}" name="Plan Options" dataDxfId="0"/>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457CF4B7-8546-4D01-AD4A-A60351A04EA5}" name="Mitigation" displayName="Mitigation" ref="I37:I48" totalsRowShown="0" headerRowDxfId="91" dataDxfId="90" tableBorderDxfId="89">
  <autoFilter ref="I37:I48" xr:uid="{457CF4B7-8546-4D01-AD4A-A60351A04EA5}"/>
  <tableColumns count="1">
    <tableColumn id="1" xr3:uid="{97BACC64-748B-4A70-A73B-AD0501DFEB41}" name="Builder" dataDxfId="88"/>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D298081-608B-4907-B578-2F340E2B58C4}" name="Harvey" displayName="Harvey" ref="I3:I19" totalsRowShown="0" headerRowDxfId="87" dataDxfId="86" tableBorderDxfId="85">
  <autoFilter ref="I3:I19" xr:uid="{ED298081-608B-4907-B578-2F340E2B58C4}"/>
  <tableColumns count="1">
    <tableColumn id="1" xr3:uid="{E7045CC5-284B-42E6-B48B-1E035F80C2A5}" name="Builder" dataDxfId="84"/>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81581B7C-3023-45B2-B7C1-5FB8A7A1B799}" name="ALLCO" displayName="ALLCO" ref="Y3:Y42" totalsRowShown="0" headerRowDxfId="83" dataDxfId="82" tableBorderDxfId="81">
  <autoFilter ref="Y3:Y42" xr:uid="{81581B7C-3023-45B2-B7C1-5FB8A7A1B799}"/>
  <tableColumns count="1">
    <tableColumn id="1" xr3:uid="{2CB4E89B-9BFB-473A-AC72-7B3FA721DDBC}" name="Plan Options" dataDxfId="80"/>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B04A5956-1785-4751-8C3E-3FB5DE1264A0}" name="ICON_3D" displayName="ICON_3D" ref="Y48:Y60" totalsRowShown="0" headerRowDxfId="79" dataDxfId="78" tableBorderDxfId="77">
  <autoFilter ref="Y48:Y60" xr:uid="{B04A5956-1785-4751-8C3E-3FB5DE1264A0}"/>
  <tableColumns count="1">
    <tableColumn id="1" xr3:uid="{22C7876E-C8E7-4C1F-97D2-AAF3795704A1}" name="Plan Options" dataDxfId="76"/>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85CDA56E-6A45-4177-9346-69BDD0018622}" name="Brizo_Tilt_Wall" displayName="Brizo_Tilt_Wall" ref="Y65:Y83" totalsRowShown="0" headerRowDxfId="75" dataDxfId="74" tableBorderDxfId="73">
  <autoFilter ref="Y65:Y83" xr:uid="{85CDA56E-6A45-4177-9346-69BDD0018622}"/>
  <tableColumns count="1">
    <tableColumn id="1" xr3:uid="{35910EC1-6704-4CB6-AA44-622138A1CB62}" name="Plan Options" dataDxfId="72"/>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804E2848-47B8-490E-AAFA-00430053073A}" name="DSW_Steel_Frame" displayName="DSW_Steel_Frame" ref="Y88:Y142" totalsRowShown="0" headerRowDxfId="71" dataDxfId="70" tableBorderDxfId="69">
  <autoFilter ref="Y88:Y142" xr:uid="{804E2848-47B8-490E-AAFA-00430053073A}"/>
  <tableColumns count="1">
    <tableColumn id="1" xr3:uid="{C21B5D89-CB2E-41C0-883B-1ED9F2F7E804}" name="Plan Options" dataDxfId="68"/>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37DF2461-B868-43AB-A814-86955CA6EBD5}" name="JW_Turner_Resil_Struct" displayName="JW_Turner_Resil_Struct" ref="Y147:Y165" totalsRowShown="0" headerRowDxfId="67" dataDxfId="66" tableBorderDxfId="65">
  <autoFilter ref="Y147:Y165" xr:uid="{37DF2461-B868-43AB-A814-86955CA6EBD5}"/>
  <tableColumns count="1">
    <tableColumn id="1" xr3:uid="{4D51A73F-31F3-44EB-B3B9-36BC67495285}" name="Plan Options" dataDxfId="64"/>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A1" dT="2020-09-11T23:14:05.69" personId="{A85222FD-D697-49E1-87CA-D93F5D046083}" id="{FD8B345C-1192-44A9-B174-382B4FA4D9BE}">
    <text>used to autocomplete comp price, vendor soft costs</text>
  </threadedComment>
  <threadedComment ref="AA1" dT="2020-09-11T23:12:38.98" personId="{A85222FD-D697-49E1-87CA-D93F5D046083}" id="{CD8EEDCD-1CDC-4454-8AE3-2667D696DC3F}">
    <text>autocompletes based on county and vendor/zone/inspection costs table</text>
  </threadedComment>
  <threadedComment ref="A2" dT="2020-09-11T23:41:05.19" personId="{A85222FD-D697-49E1-87CA-D93F5D046083}" id="{17879EA7-78F6-4E21-9280-04F64EC631DB}">
    <text>used for dropdown (homeowner county)</text>
  </threadedComment>
  <threadedComment ref="J2" dT="2020-09-11T23:13:32.79" personId="{A85222FD-D697-49E1-87CA-D93F5D046083}" id="{2397EB6A-FDB5-493C-A85D-75C2C123FE00}">
    <text>used to autocomplete builder contract #</text>
  </threadedComment>
  <threadedComment ref="R2" dT="2020-09-11T23:13:21.02" personId="{A85222FD-D697-49E1-87CA-D93F5D046083}" id="{660CBAC4-9510-4233-8BA7-2918A73AA550}">
    <text>used for drop down list, used to autocomplete comp price and hazard&amp;mit gutter cost</text>
  </threadedComment>
  <threadedComment ref="R2" dT="2021-04-12T18:26:22.06" personId="{0A132C87-294F-4F6B-8D75-3461851457CF}" id="{04EFEF4E-FE7F-4B3B-AE73-2C25171D6C8E}" parentId="{660CBAC4-9510-4233-8BA7-2918A73AA550}">
    <text>Used to autocomplete updated comp price and gutter cost requested 4/6/2021 - Stephen McDonald</text>
  </threadedComment>
  <threadedComment ref="R2" dT="2021-04-20T18:40:55.92" personId="{0A132C87-294F-4F6B-8D75-3461851457CF}" id="{B1E9A942-3129-4390-89AC-9E7282F68DD5}" parentId="{660CBAC4-9510-4233-8BA7-2918A73AA550}">
    <text>Used to update comp price per JR request on 4/19/2021 - Stephen McDonald</text>
  </threadedComment>
  <threadedComment ref="M3" dT="2020-10-02T19:50:31.49" personId="{A85222FD-D697-49E1-87CA-D93F5D046083}" id="{9FA56C28-D90B-442C-BE27-16C49B2D68C0}">
    <text>used in vlookup formula to pull builder contract # from county</text>
  </threadedComment>
  <threadedComment ref="J36" dT="2020-09-11T23:13:32.79" personId="{A85222FD-D697-49E1-87CA-D93F5D046083}" id="{38BB4074-C2E1-42BB-82DE-E53A1264826A}">
    <text>used to autocomplete builder contract #</text>
  </threadedComment>
  <threadedComment ref="M37" dT="2020-10-02T19:50:31.49" personId="{A85222FD-D697-49E1-87CA-D93F5D046083}" id="{9B3D590A-C3F3-4D49-9CD0-540DB5CB33AC}">
    <text>used in vlookup formula to pull builder contract # from county</text>
  </threadedComment>
  <threadedComment ref="R47" dT="2020-09-11T23:13:21.02" personId="{A85222FD-D697-49E1-87CA-D93F5D046083}" id="{54F647B5-CD6D-4E7D-873A-76031E15389B}">
    <text>used for drop down list, used to autocomplete comp price and hazard&amp;mit gutter cost</text>
  </threadedComment>
  <threadedComment ref="R47" dT="2021-04-12T18:26:22.06" personId="{0A132C87-294F-4F6B-8D75-3461851457CF}" id="{F5E70CE0-31D0-46ED-8D94-CA148736E217}" parentId="{54F647B5-CD6D-4E7D-873A-76031E15389B}">
    <text>Used to autocomplete updated comp price and gutter cost requested 4/6/2021 - Stephen McDonald</text>
  </threadedComment>
  <threadedComment ref="R47" dT="2021-04-20T18:40:55.92" personId="{0A132C87-294F-4F6B-8D75-3461851457CF}" id="{A3A0522B-C6E1-4E33-9A40-B25DEB72DEE5}" parentId="{54F647B5-CD6D-4E7D-873A-76031E15389B}">
    <text>Used to update comp price per JR request on 4/19/2021 - Stephen McDonald</text>
  </threadedComment>
  <threadedComment ref="J61" dT="2020-09-11T23:13:32.79" personId="{A85222FD-D697-49E1-87CA-D93F5D046083}" id="{E54C2EE9-9F76-4316-86FD-15FBA316A06E}">
    <text>used to autocomplete builder contract #</text>
  </threadedComment>
  <threadedComment ref="M62" dT="2020-10-02T19:50:31.49" personId="{A85222FD-D697-49E1-87CA-D93F5D046083}" id="{6881CC95-4C62-4BAB-9270-AC4E64494B3D}">
    <text>used in vlookup formula to pull builder contract # from county</text>
  </threadedComment>
  <threadedComment ref="R64" dT="2020-09-11T23:13:21.02" personId="{A85222FD-D697-49E1-87CA-D93F5D046083}" id="{94775942-6C18-4A9B-B4A0-9235EA08BBE9}">
    <text>used for drop down list, used to autocomplete comp price and hazard&amp;mit gutter cost</text>
  </threadedComment>
  <threadedComment ref="R64" dT="2021-04-12T18:26:22.06" personId="{0A132C87-294F-4F6B-8D75-3461851457CF}" id="{AE3BC65D-4DA7-401A-A93E-A2D7B12A2E5A}" parentId="{94775942-6C18-4A9B-B4A0-9235EA08BBE9}">
    <text>Used to autocomplete updated comp price and gutter cost requested 4/6/2021 - Stephen McDonald</text>
  </threadedComment>
  <threadedComment ref="R64" dT="2021-04-20T18:40:55.92" personId="{0A132C87-294F-4F6B-8D75-3461851457CF}" id="{DA2B67B9-077C-4F86-8A81-B9F71ECF0602}" parentId="{94775942-6C18-4A9B-B4A0-9235EA08BBE9}">
    <text>Used to update comp price per JR request on 4/19/2021 - Stephen McDonald</text>
  </threadedComment>
  <threadedComment ref="A65" dT="2020-09-11T23:41:05.19" personId="{A85222FD-D697-49E1-87CA-D93F5D046083}" id="{5E02AF92-6173-496B-BD1C-946A020301E1}">
    <text>used for dropdown (homeowner county)</text>
  </threadedComment>
  <threadedComment ref="J81" dT="2020-09-11T23:13:32.79" personId="{A85222FD-D697-49E1-87CA-D93F5D046083}" id="{8518DA76-97EE-4107-B8A8-DBD1A91E79BF}">
    <text>used to autocomplete builder contract #</text>
  </threadedComment>
  <threadedComment ref="M82" dT="2020-10-02T19:50:31.49" personId="{A85222FD-D697-49E1-87CA-D93F5D046083}" id="{13083460-00B9-48A0-8478-A9BF1713A77E}">
    <text>used in vlookup formula to pull builder contract # from county</text>
  </threadedComment>
  <threadedComment ref="R87" dT="2020-09-11T23:13:21.02" personId="{A85222FD-D697-49E1-87CA-D93F5D046083}" id="{2D74F5C6-FAEB-443B-9C33-0DB6478316F3}">
    <text>used for drop down list, used to autocomplete comp price and hazard&amp;mit gutter cost</text>
  </threadedComment>
  <threadedComment ref="R87" dT="2021-04-12T18:26:22.06" personId="{0A132C87-294F-4F6B-8D75-3461851457CF}" id="{B616A0FA-B209-4650-9989-92D822695AA0}" parentId="{2D74F5C6-FAEB-443B-9C33-0DB6478316F3}">
    <text>Used to autocomplete updated comp price and gutter cost requested 4/6/2021 - Stephen McDonald</text>
  </threadedComment>
  <threadedComment ref="R87" dT="2021-04-20T18:40:55.92" personId="{0A132C87-294F-4F6B-8D75-3461851457CF}" id="{C9FA2445-EB30-4C53-B619-0FEC2A751336}" parentId="{2D74F5C6-FAEB-443B-9C33-0DB6478316F3}">
    <text>Used to update comp price per JR request on 4/19/2021 - Stephen McDonald</text>
  </threadedComment>
  <threadedComment ref="R146" dT="2020-09-11T23:13:21.02" personId="{A85222FD-D697-49E1-87CA-D93F5D046083}" id="{68469FDB-F296-4BFC-9A7B-190669D60515}">
    <text>used for drop down list, used to autocomplete comp price and hazard&amp;mit gutter cost</text>
  </threadedComment>
  <threadedComment ref="R146" dT="2021-04-12T18:26:22.06" personId="{0A132C87-294F-4F6B-8D75-3461851457CF}" id="{EE114D23-36C5-4C67-BC13-3D53F2C66D9A}" parentId="{68469FDB-F296-4BFC-9A7B-190669D60515}">
    <text>Used to autocomplete updated comp price and gutter cost requested 4/6/2021 - Stephen McDonald</text>
  </threadedComment>
  <threadedComment ref="R146" dT="2021-04-20T18:40:55.92" personId="{0A132C87-294F-4F6B-8D75-3461851457CF}" id="{E9270C88-F628-4362-B579-A08A4F3C4F11}" parentId="{68469FDB-F296-4BFC-9A7B-190669D60515}">
    <text>Used to update comp price per JR request on 4/19/2021 - Stephen McDonald</text>
  </threadedComment>
  <threadedComment ref="R169" dT="2020-09-11T23:13:21.02" personId="{A85222FD-D697-49E1-87CA-D93F5D046083}" id="{FA43580B-F0D9-4B26-B4BD-0991FC342A8A}">
    <text>used for drop down list, used to autocomplete comp price and hazard&amp;mit gutter cost</text>
  </threadedComment>
  <threadedComment ref="R169" dT="2021-04-12T18:26:22.06" personId="{0A132C87-294F-4F6B-8D75-3461851457CF}" id="{6695F2DF-7EB4-4E86-912A-C12840FFBB52}" parentId="{FA43580B-F0D9-4B26-B4BD-0991FC342A8A}">
    <text>Used to autocomplete updated comp price and gutter cost requested 4/6/2021 - Stephen McDonald</text>
  </threadedComment>
  <threadedComment ref="R169" dT="2021-04-20T18:40:55.92" personId="{0A132C87-294F-4F6B-8D75-3461851457CF}" id="{348465C9-CBC7-4705-8FBC-83F5254EAFA5}" parentId="{FA43580B-F0D9-4B26-B4BD-0991FC342A8A}">
    <text>Used to update comp price per JR request on 4/19/2021 - Stephen McDonald</text>
  </threadedComment>
  <threadedComment ref="R192" dT="2020-09-11T23:13:21.02" personId="{A85222FD-D697-49E1-87CA-D93F5D046083}" id="{F5F226C9-4C96-490C-B2C9-8CF6FFBB1CDE}">
    <text>used for drop down list, used to autocomplete comp price and hazard&amp;mit gutter cost</text>
  </threadedComment>
  <threadedComment ref="R192" dT="2021-04-12T18:26:22.06" personId="{0A132C87-294F-4F6B-8D75-3461851457CF}" id="{AD7A066F-5F5D-4036-9FAF-99CB7A8E7285}" parentId="{F5F226C9-4C96-490C-B2C9-8CF6FFBB1CDE}">
    <text>Used to autocomplete updated comp price and gutter cost requested 4/6/2021 - Stephen McDonald</text>
  </threadedComment>
  <threadedComment ref="R192" dT="2021-04-20T18:40:55.92" personId="{0A132C87-294F-4F6B-8D75-3461851457CF}" id="{61E9CE87-A4CB-491D-A4E7-F4A0716F530C}" parentId="{F5F226C9-4C96-490C-B2C9-8CF6FFBB1CDE}">
    <text>Used to update comp price per JR request on 4/19/2021 - Stephen McDonald</text>
  </threadedComment>
  <threadedComment ref="R235" dT="2020-09-11T23:13:21.02" personId="{A85222FD-D697-49E1-87CA-D93F5D046083}" id="{CD9E1290-899D-4334-8009-EF06B5D97313}">
    <text>used for drop down list, used to autocomplete comp price and hazard&amp;mit gutter cost</text>
  </threadedComment>
  <threadedComment ref="R235" dT="2021-04-12T18:26:22.06" personId="{0A132C87-294F-4F6B-8D75-3461851457CF}" id="{429659FD-20DF-448F-9458-284E055E2666}" parentId="{CD9E1290-899D-4334-8009-EF06B5D97313}">
    <text>Used to autocomplete updated comp price and gutter cost requested 4/6/2021 - Stephen McDonald</text>
  </threadedComment>
  <threadedComment ref="R235" dT="2021-04-20T18:40:55.92" personId="{0A132C87-294F-4F6B-8D75-3461851457CF}" id="{1C84089A-B787-40AE-B7AE-D4836BDD69AA}" parentId="{CD9E1290-899D-4334-8009-EF06B5D97313}">
    <text>Used to update comp price per JR request on 4/19/2021 - Stephen McDonald</text>
  </threadedComment>
  <threadedComment ref="R278" dT="2020-09-11T23:13:21.02" personId="{A85222FD-D697-49E1-87CA-D93F5D046083}" id="{EF8167A6-CA40-45FE-B6F0-ABEF56F6A9B4}">
    <text>used for drop down list, used to autocomplete comp price and hazard&amp;mit gutter cost</text>
  </threadedComment>
  <threadedComment ref="R278" dT="2021-04-12T18:26:22.06" personId="{0A132C87-294F-4F6B-8D75-3461851457CF}" id="{48B67537-99BA-4721-8456-AEE01903905A}" parentId="{EF8167A6-CA40-45FE-B6F0-ABEF56F6A9B4}">
    <text>Used to autocomplete updated comp price and gutter cost requested 4/6/2021 - Stephen McDonald</text>
  </threadedComment>
  <threadedComment ref="R278" dT="2021-04-20T18:40:55.92" personId="{0A132C87-294F-4F6B-8D75-3461851457CF}" id="{F83C56BB-C4E9-4F7A-B4E7-00515D2B5184}" parentId="{EF8167A6-CA40-45FE-B6F0-ABEF56F6A9B4}">
    <text>Used to update comp price per JR request on 4/19/2021 - Stephen McDonald</text>
  </threadedComment>
  <threadedComment ref="R321" dT="2020-09-11T23:13:21.02" personId="{A85222FD-D697-49E1-87CA-D93F5D046083}" id="{D3307688-D22C-4468-9C70-748E9AB9805D}">
    <text>used for drop down list, used to autocomplete comp price and hazard&amp;mit gutter cost</text>
  </threadedComment>
  <threadedComment ref="R321" dT="2021-04-12T18:26:22.06" personId="{0A132C87-294F-4F6B-8D75-3461851457CF}" id="{76859F17-C53B-4FDC-BFE9-E61D858F8057}" parentId="{D3307688-D22C-4468-9C70-748E9AB9805D}">
    <text>Used to autocomplete updated comp price and gutter cost requested 4/6/2021 - Stephen McDonald</text>
  </threadedComment>
  <threadedComment ref="R321" dT="2021-04-20T18:40:55.92" personId="{0A132C87-294F-4F6B-8D75-3461851457CF}" id="{DEBD5BF1-BD3A-4B7B-96A6-ADD2DBC3E498}" parentId="{D3307688-D22C-4468-9C70-748E9AB9805D}">
    <text>Used to update comp price per JR request on 4/19/2021 - Stephen McDonald</text>
  </threadedComment>
  <threadedComment ref="R364" dT="2020-09-11T23:13:21.02" personId="{A85222FD-D697-49E1-87CA-D93F5D046083}" id="{150ED3C9-6EFB-42A7-8AD0-6BCCCBABB498}">
    <text>used for drop down list, used to autocomplete comp price and hazard&amp;mit gutter cost</text>
  </threadedComment>
  <threadedComment ref="R364" dT="2021-04-12T18:26:22.06" personId="{0A132C87-294F-4F6B-8D75-3461851457CF}" id="{AE8615D9-7E55-4273-8A0E-1FFE46956A12}" parentId="{150ED3C9-6EFB-42A7-8AD0-6BCCCBABB498}">
    <text>Used to autocomplete updated comp price and gutter cost requested 4/6/2021 - Stephen McDonald</text>
  </threadedComment>
  <threadedComment ref="R364" dT="2021-04-20T18:40:55.92" personId="{0A132C87-294F-4F6B-8D75-3461851457CF}" id="{13D0AEA3-A972-46DB-8A67-56552AD1BD85}" parentId="{150ED3C9-6EFB-42A7-8AD0-6BCCCBABB498}">
    <text>Used to update comp price per JR request on 4/19/2021 - Stephen McDonald</text>
  </threadedComment>
  <threadedComment ref="R407" dT="2020-09-11T23:13:21.02" personId="{A85222FD-D697-49E1-87CA-D93F5D046083}" id="{2E0D6AD0-7A7E-48A5-BD2A-8B6D5AAF0045}">
    <text>used for drop down list, used to autocomplete comp price and hazard&amp;mit gutter cost</text>
  </threadedComment>
  <threadedComment ref="R407" dT="2021-04-12T18:26:22.06" personId="{0A132C87-294F-4F6B-8D75-3461851457CF}" id="{FB203419-B2A8-4E10-9923-C419AE4B0A73}" parentId="{2E0D6AD0-7A7E-48A5-BD2A-8B6D5AAF0045}">
    <text>Used to autocomplete updated comp price and gutter cost requested 4/6/2021 - Stephen McDonald</text>
  </threadedComment>
  <threadedComment ref="R407" dT="2021-04-20T18:40:55.92" personId="{0A132C87-294F-4F6B-8D75-3461851457CF}" id="{F549EF39-84D5-47A2-92EA-1C04EA322E4A}" parentId="{2E0D6AD0-7A7E-48A5-BD2A-8B6D5AAF0045}">
    <text>Used to update comp price per JR request on 4/19/2021 - Stephen McDonald</text>
  </threadedComment>
  <threadedComment ref="R450" dT="2020-09-11T23:13:21.02" personId="{A85222FD-D697-49E1-87CA-D93F5D046083}" id="{3580D03C-39E5-4114-AF5F-FCA8B171748E}">
    <text>used for drop down list, used to autocomplete comp price and hazard&amp;mit gutter cost</text>
  </threadedComment>
  <threadedComment ref="R450" dT="2021-04-12T18:26:22.06" personId="{0A132C87-294F-4F6B-8D75-3461851457CF}" id="{30D0992D-B31A-4E90-AC09-EB5C98B039A8}" parentId="{3580D03C-39E5-4114-AF5F-FCA8B171748E}">
    <text>Used to autocomplete updated comp price and gutter cost requested 4/6/2021 - Stephen McDonald</text>
  </threadedComment>
  <threadedComment ref="R450" dT="2021-04-20T18:40:55.92" personId="{0A132C87-294F-4F6B-8D75-3461851457CF}" id="{4D8181CD-09D7-458C-952A-4D5BA2A5285D}" parentId="{3580D03C-39E5-4114-AF5F-FCA8B171748E}">
    <text>Used to update comp price per JR request on 4/19/2021 - Stephen McDonald</text>
  </threadedComment>
  <threadedComment ref="R493" dT="2020-09-11T23:13:21.02" personId="{A85222FD-D697-49E1-87CA-D93F5D046083}" id="{66455AF0-1C18-41BF-98B2-5E3D19ACCF7F}">
    <text>used for drop down list, used to autocomplete comp price and hazard&amp;mit gutter cost</text>
  </threadedComment>
  <threadedComment ref="R493" dT="2021-04-12T18:26:22.06" personId="{0A132C87-294F-4F6B-8D75-3461851457CF}" id="{A2203421-A36D-4CA6-9CB1-974B2EA792A9}" parentId="{66455AF0-1C18-41BF-98B2-5E3D19ACCF7F}">
    <text>Used to autocomplete updated comp price and gutter cost requested 4/6/2021 - Stephen McDonald</text>
  </threadedComment>
  <threadedComment ref="R493" dT="2021-04-20T18:40:55.92" personId="{0A132C87-294F-4F6B-8D75-3461851457CF}" id="{8BC7C48D-48E2-4A83-A2CE-E85B84725215}" parentId="{66455AF0-1C18-41BF-98B2-5E3D19ACCF7F}">
    <text>Used to update comp price per JR request on 4/19/2021 - Stephen McDonald</text>
  </threadedComment>
  <threadedComment ref="R536" dT="2020-09-11T23:13:21.02" personId="{A85222FD-D697-49E1-87CA-D93F5D046083}" id="{677042EE-4DFA-4E2B-88C8-66E14854D4CA}">
    <text>used for drop down list, used to autocomplete comp price and hazard&amp;mit gutter cost</text>
  </threadedComment>
  <threadedComment ref="R536" dT="2021-04-12T18:26:22.06" personId="{0A132C87-294F-4F6B-8D75-3461851457CF}" id="{4C68F777-D5A5-4226-8CE2-DE1A255354B8}" parentId="{677042EE-4DFA-4E2B-88C8-66E14854D4CA}">
    <text>Used to autocomplete updated comp price and gutter cost requested 4/6/2021 - Stephen McDonald</text>
  </threadedComment>
  <threadedComment ref="R536" dT="2021-04-20T18:40:55.92" personId="{0A132C87-294F-4F6B-8D75-3461851457CF}" id="{7594A200-B4D3-4630-A78E-C6FF96A10A23}" parentId="{677042EE-4DFA-4E2B-88C8-66E14854D4CA}">
    <text>Used to update comp price per JR request on 4/19/2021 - Stephen McDonald</text>
  </threadedComment>
  <threadedComment ref="R579" dT="2020-09-11T23:13:21.02" personId="{A85222FD-D697-49E1-87CA-D93F5D046083}" id="{38D29BEA-F60C-4C00-8BBE-A3794D178C2C}">
    <text>used for drop down list, used to autocomplete comp price and hazard&amp;mit gutter cost</text>
  </threadedComment>
  <threadedComment ref="R579" dT="2021-04-12T18:26:22.06" personId="{0A132C87-294F-4F6B-8D75-3461851457CF}" id="{45097029-9789-4DBF-A9C9-6AB1A4320764}" parentId="{38D29BEA-F60C-4C00-8BBE-A3794D178C2C}">
    <text>Used to autocomplete updated comp price and gutter cost requested 4/6/2021 - Stephen McDonald</text>
  </threadedComment>
  <threadedComment ref="R579" dT="2021-04-20T18:40:55.92" personId="{0A132C87-294F-4F6B-8D75-3461851457CF}" id="{2D56C0DD-E23F-4AB8-AD8C-421C97729D8D}" parentId="{38D29BEA-F60C-4C00-8BBE-A3794D178C2C}">
    <text>Used to update comp price per JR request on 4/19/2021 - Stephen McDonald</text>
  </threadedComment>
  <threadedComment ref="R622" dT="2020-09-11T23:13:21.02" personId="{A85222FD-D697-49E1-87CA-D93F5D046083}" id="{AE487842-3A6D-4B39-8B92-393CD70D4179}">
    <text>used for drop down list, used to autocomplete comp price and hazard&amp;mit gutter cost</text>
  </threadedComment>
  <threadedComment ref="R622" dT="2021-04-12T18:26:22.06" personId="{0A132C87-294F-4F6B-8D75-3461851457CF}" id="{060325F0-2CF3-4333-B758-C4075E343DE8}" parentId="{AE487842-3A6D-4B39-8B92-393CD70D4179}">
    <text>Used to autocomplete updated comp price and gutter cost requested 4/6/2021 - Stephen McDonald</text>
  </threadedComment>
  <threadedComment ref="R622" dT="2021-04-20T18:40:55.92" personId="{0A132C87-294F-4F6B-8D75-3461851457CF}" id="{AC43E1CA-3C97-4C32-977D-BDDA4F173842}" parentId="{AE487842-3A6D-4B39-8B92-393CD70D4179}">
    <text>Used to update comp price per JR request on 4/19/2021 - Stephen McDonald</text>
  </threadedComment>
  <threadedComment ref="R665" dT="2020-09-11T23:13:21.02" personId="{A85222FD-D697-49E1-87CA-D93F5D046083}" id="{B7924456-F971-4B51-810B-947E799F8FE6}">
    <text>used for drop down list, used to autocomplete comp price and hazard&amp;mit gutter cost</text>
  </threadedComment>
  <threadedComment ref="R665" dT="2021-04-12T18:26:22.06" personId="{0A132C87-294F-4F6B-8D75-3461851457CF}" id="{E50AF97C-DD8D-41A2-98B8-DE50ACF9F0EC}" parentId="{B7924456-F971-4B51-810B-947E799F8FE6}">
    <text>Used to autocomplete updated comp price and gutter cost requested 4/6/2021 - Stephen McDonald</text>
  </threadedComment>
  <threadedComment ref="R665" dT="2021-04-20T18:40:55.92" personId="{0A132C87-294F-4F6B-8D75-3461851457CF}" id="{446319A4-3FDE-4114-ABB1-6C27EE304946}" parentId="{B7924456-F971-4B51-810B-947E799F8FE6}">
    <text>Used to update comp price per JR request on 4/19/2021 - Stephen McDonald</text>
  </threadedComment>
  <threadedComment ref="R708" dT="2020-09-11T23:13:21.02" personId="{A85222FD-D697-49E1-87CA-D93F5D046083}" id="{EE629F20-27AA-458A-B737-637E11ED7866}">
    <text>used for drop down list, used to autocomplete comp price and hazard&amp;mit gutter cost</text>
  </threadedComment>
  <threadedComment ref="R708" dT="2021-04-12T18:26:22.06" personId="{0A132C87-294F-4F6B-8D75-3461851457CF}" id="{E8B0509F-36D7-472B-9714-BB6241693F31}" parentId="{EE629F20-27AA-458A-B737-637E11ED7866}">
    <text>Used to autocomplete updated comp price and gutter cost requested 4/6/2021 - Stephen McDonald</text>
  </threadedComment>
  <threadedComment ref="R708" dT="2021-04-20T18:40:55.92" personId="{0A132C87-294F-4F6B-8D75-3461851457CF}" id="{77381427-24E2-4ED2-9A1A-70FFE2D0AF7D}" parentId="{EE629F20-27AA-458A-B737-637E11ED7866}">
    <text>Used to update comp price per JR request on 4/19/2021 - Stephen McDonald</text>
  </threadedComment>
  <threadedComment ref="R751" dT="2020-09-11T23:13:21.02" personId="{A85222FD-D697-49E1-87CA-D93F5D046083}" id="{7F47A4A9-3842-4B46-8A5D-3ED1B0E8F4B2}">
    <text>used for drop down list, used to autocomplete comp price and hazard&amp;mit gutter cost</text>
  </threadedComment>
  <threadedComment ref="R751" dT="2021-04-12T18:26:22.06" personId="{0A132C87-294F-4F6B-8D75-3461851457CF}" id="{4F796668-2D71-4945-98D2-D66DBEB19CC6}" parentId="{7F47A4A9-3842-4B46-8A5D-3ED1B0E8F4B2}">
    <text>Used to autocomplete updated comp price and gutter cost requested 4/6/2021 - Stephen McDonald</text>
  </threadedComment>
  <threadedComment ref="R751" dT="2021-04-20T18:40:55.92" personId="{0A132C87-294F-4F6B-8D75-3461851457CF}" id="{0616FF44-0689-4694-AC4A-BE782EF2AE21}" parentId="{7F47A4A9-3842-4B46-8A5D-3ED1B0E8F4B2}">
    <text>Used to update comp price per JR request on 4/19/2021 - Stephen McDonald</text>
  </threadedComment>
  <threadedComment ref="R794" dT="2020-09-11T23:13:21.02" personId="{A85222FD-D697-49E1-87CA-D93F5D046083}" id="{EB84BFF7-7228-4708-96EB-FE7350F035E1}">
    <text>used for drop down list, used to autocomplete comp price and hazard&amp;mit gutter cost</text>
  </threadedComment>
  <threadedComment ref="R794" dT="2021-04-12T18:26:22.06" personId="{0A132C87-294F-4F6B-8D75-3461851457CF}" id="{E47A77B3-09AD-4873-B6DA-9373C5FECFA2}" parentId="{EB84BFF7-7228-4708-96EB-FE7350F035E1}">
    <text>Used to autocomplete updated comp price and gutter cost requested 4/6/2021 - Stephen McDonald</text>
  </threadedComment>
  <threadedComment ref="R794" dT="2021-04-20T18:40:55.92" personId="{0A132C87-294F-4F6B-8D75-3461851457CF}" id="{7582AE06-8418-4601-A0BB-32DB048E68C8}" parentId="{EB84BFF7-7228-4708-96EB-FE7350F035E1}">
    <text>Used to update comp price per JR request on 4/19/2021 - Stephen McDonald</text>
  </threadedComment>
  <threadedComment ref="R845" dT="2020-09-11T23:13:21.02" personId="{A85222FD-D697-49E1-87CA-D93F5D046083}" id="{B730A98F-DDC4-4D9F-B70B-4D8D8DCF7AA5}">
    <text>used for drop down list, used to autocomplete comp price and hazard&amp;mit gutter cost</text>
  </threadedComment>
  <threadedComment ref="R845" dT="2021-04-12T18:26:22.06" personId="{0A132C87-294F-4F6B-8D75-3461851457CF}" id="{CA706B19-CEBB-4A03-877D-C84B57F8F81D}" parentId="{B730A98F-DDC4-4D9F-B70B-4D8D8DCF7AA5}">
    <text>Used to autocomplete updated comp price and gutter cost requested 4/6/2021 - Stephen McDonald</text>
  </threadedComment>
  <threadedComment ref="R845" dT="2021-04-20T18:40:55.92" personId="{0A132C87-294F-4F6B-8D75-3461851457CF}" id="{C968B92E-49FF-48F9-BFEC-E1A7AFB01FA9}" parentId="{B730A98F-DDC4-4D9F-B70B-4D8D8DCF7AA5}">
    <text>Used to update comp price per JR request on 4/19/2021 - Stephen McDonald</text>
  </threadedComment>
  <threadedComment ref="R904" dT="2020-09-11T23:13:21.02" personId="{A85222FD-D697-49E1-87CA-D93F5D046083}" id="{6754B84E-825B-4418-818E-E806718065B8}">
    <text>used for drop down list, used to autocomplete comp price and hazard&amp;mit gutter cost</text>
  </threadedComment>
  <threadedComment ref="R904" dT="2021-04-12T18:26:22.06" personId="{0A132C87-294F-4F6B-8D75-3461851457CF}" id="{DDEF3985-3B20-4D16-81E8-A96E529750F6}" parentId="{6754B84E-825B-4418-818E-E806718065B8}">
    <text>Used to autocomplete updated comp price and gutter cost requested 4/6/2021 - Stephen McDonald</text>
  </threadedComment>
  <threadedComment ref="R904" dT="2021-04-20T18:40:55.92" personId="{0A132C87-294F-4F6B-8D75-3461851457CF}" id="{B0A68D4F-53F1-4043-A7A6-D50E5FCCB373}" parentId="{6754B84E-825B-4418-818E-E806718065B8}">
    <text>Used to update comp price per JR request on 4/19/2021 - Stephen McDonald</text>
  </threadedComment>
  <threadedComment ref="R946" dT="2020-09-11T23:13:21.02" personId="{A85222FD-D697-49E1-87CA-D93F5D046083}" id="{29F153B3-3792-4E82-9787-39A67BD23EB9}">
    <text>used for drop down list, used to autocomplete comp price and hazard&amp;mit gutter cost</text>
  </threadedComment>
  <threadedComment ref="R946" dT="2021-04-12T18:26:22.06" personId="{0A132C87-294F-4F6B-8D75-3461851457CF}" id="{605CE27C-9124-429A-9C85-4B57ACA2F49D}" parentId="{29F153B3-3792-4E82-9787-39A67BD23EB9}">
    <text>Used to autocomplete updated comp price and gutter cost requested 4/6/2021 - Stephen McDonald</text>
  </threadedComment>
  <threadedComment ref="R946" dT="2021-04-20T18:40:55.92" personId="{0A132C87-294F-4F6B-8D75-3461851457CF}" id="{995BDFE2-732E-4BA2-9814-9AE5356AAC8D}" parentId="{29F153B3-3792-4E82-9787-39A67BD23EB9}">
    <text>Used to update comp price per JR request on 4/19/2021 - Stephen McDonald</text>
  </threadedComment>
  <threadedComment ref="R989" dT="2020-09-11T23:13:21.02" personId="{A85222FD-D697-49E1-87CA-D93F5D046083}" id="{BD6D3D08-BB54-49C1-9AAC-FED5D3F918CB}">
    <text>used for drop down list, used to autocomplete comp price and hazard&amp;mit gutter cost</text>
  </threadedComment>
  <threadedComment ref="R989" dT="2021-04-12T18:26:22.06" personId="{0A132C87-294F-4F6B-8D75-3461851457CF}" id="{BD11B5AD-1687-4CD4-A17D-F1307B72757C}" parentId="{BD6D3D08-BB54-49C1-9AAC-FED5D3F918CB}">
    <text>Used to autocomplete updated comp price and gutter cost requested 4/6/2021 - Stephen McDonald</text>
  </threadedComment>
  <threadedComment ref="R989" dT="2021-04-20T18:40:55.92" personId="{0A132C87-294F-4F6B-8D75-3461851457CF}" id="{A9A020D3-4011-45D0-A6B9-41604CAA84B3}" parentId="{BD6D3D08-BB54-49C1-9AAC-FED5D3F918CB}">
    <text>Used to update comp price per JR request on 4/19/2021 - Stephen McDonald</text>
  </threadedComment>
  <threadedComment ref="R1033" dT="2020-09-11T23:13:21.02" personId="{A85222FD-D697-49E1-87CA-D93F5D046083}" id="{013C95C6-0498-43FC-80AE-7E4F41426AFA}">
    <text>used for drop down list, used to autocomplete comp price and hazard&amp;mit gutter cost</text>
  </threadedComment>
  <threadedComment ref="R1033" dT="2021-04-12T18:26:22.06" personId="{0A132C87-294F-4F6B-8D75-3461851457CF}" id="{6ED9C0D7-58D2-42AA-93E5-93B164A5BBCA}" parentId="{013C95C6-0498-43FC-80AE-7E4F41426AFA}">
    <text>Used to autocomplete updated comp price and gutter cost requested 4/6/2021 - Stephen McDonald</text>
  </threadedComment>
  <threadedComment ref="R1033" dT="2021-04-20T18:40:39.45" personId="{0A132C87-294F-4F6B-8D75-3461851457CF}" id="{154218C5-4522-4471-80C0-1C40584919A0}" parentId="{013C95C6-0498-43FC-80AE-7E4F41426AFA}">
    <text>Used to update comp price per JR request on 4/19/2021 - Stephen McDonald</text>
  </threadedComment>
  <threadedComment ref="R1108" dT="2020-09-11T23:13:21.02" personId="{A85222FD-D697-49E1-87CA-D93F5D046083}" id="{94F749A8-977C-4B99-9FFB-FF7A5AE76FB7}">
    <text>used for drop down list, used to autocomplete comp price and hazard&amp;mit gutter cost</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8" Type="http://schemas.openxmlformats.org/officeDocument/2006/relationships/table" Target="../tables/table6.xml"/><Relationship Id="rId13" Type="http://schemas.openxmlformats.org/officeDocument/2006/relationships/table" Target="../tables/table11.xml"/><Relationship Id="rId18" Type="http://schemas.openxmlformats.org/officeDocument/2006/relationships/table" Target="../tables/table16.xml"/><Relationship Id="rId26" Type="http://schemas.openxmlformats.org/officeDocument/2006/relationships/table" Target="../tables/table24.xml"/><Relationship Id="rId3" Type="http://schemas.openxmlformats.org/officeDocument/2006/relationships/table" Target="../tables/table1.xml"/><Relationship Id="rId21" Type="http://schemas.openxmlformats.org/officeDocument/2006/relationships/table" Target="../tables/table19.xml"/><Relationship Id="rId7" Type="http://schemas.openxmlformats.org/officeDocument/2006/relationships/table" Target="../tables/table5.xml"/><Relationship Id="rId12" Type="http://schemas.openxmlformats.org/officeDocument/2006/relationships/table" Target="../tables/table10.xml"/><Relationship Id="rId17" Type="http://schemas.openxmlformats.org/officeDocument/2006/relationships/table" Target="../tables/table15.xml"/><Relationship Id="rId25" Type="http://schemas.openxmlformats.org/officeDocument/2006/relationships/table" Target="../tables/table23.xml"/><Relationship Id="rId2" Type="http://schemas.openxmlformats.org/officeDocument/2006/relationships/vmlDrawing" Target="../drawings/vmlDrawing1.vml"/><Relationship Id="rId16" Type="http://schemas.openxmlformats.org/officeDocument/2006/relationships/table" Target="../tables/table14.xml"/><Relationship Id="rId20" Type="http://schemas.openxmlformats.org/officeDocument/2006/relationships/table" Target="../tables/table18.xml"/><Relationship Id="rId29" Type="http://schemas.microsoft.com/office/2017/10/relationships/threadedComment" Target="../threadedComments/threadedComment1.xml"/><Relationship Id="rId1" Type="http://schemas.openxmlformats.org/officeDocument/2006/relationships/printerSettings" Target="../printerSettings/printerSettings10.bin"/><Relationship Id="rId6" Type="http://schemas.openxmlformats.org/officeDocument/2006/relationships/table" Target="../tables/table4.xml"/><Relationship Id="rId11" Type="http://schemas.openxmlformats.org/officeDocument/2006/relationships/table" Target="../tables/table9.xml"/><Relationship Id="rId24" Type="http://schemas.openxmlformats.org/officeDocument/2006/relationships/table" Target="../tables/table22.xml"/><Relationship Id="rId5" Type="http://schemas.openxmlformats.org/officeDocument/2006/relationships/table" Target="../tables/table3.xml"/><Relationship Id="rId15" Type="http://schemas.openxmlformats.org/officeDocument/2006/relationships/table" Target="../tables/table13.xml"/><Relationship Id="rId23" Type="http://schemas.openxmlformats.org/officeDocument/2006/relationships/table" Target="../tables/table21.xml"/><Relationship Id="rId28" Type="http://schemas.openxmlformats.org/officeDocument/2006/relationships/comments" Target="../comments1.xml"/><Relationship Id="rId10" Type="http://schemas.openxmlformats.org/officeDocument/2006/relationships/table" Target="../tables/table8.xml"/><Relationship Id="rId19" Type="http://schemas.openxmlformats.org/officeDocument/2006/relationships/table" Target="../tables/table17.xml"/><Relationship Id="rId4" Type="http://schemas.openxmlformats.org/officeDocument/2006/relationships/table" Target="../tables/table2.xml"/><Relationship Id="rId9" Type="http://schemas.openxmlformats.org/officeDocument/2006/relationships/table" Target="../tables/table7.xml"/><Relationship Id="rId14" Type="http://schemas.openxmlformats.org/officeDocument/2006/relationships/table" Target="../tables/table12.xml"/><Relationship Id="rId22" Type="http://schemas.openxmlformats.org/officeDocument/2006/relationships/table" Target="../tables/table20.xml"/><Relationship Id="rId27" Type="http://schemas.openxmlformats.org/officeDocument/2006/relationships/table" Target="../tables/table25.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1A400B-3237-4CC0-8359-C81CF4317748}">
  <sheetPr codeName="Sheet5"/>
  <dimension ref="A1:W112"/>
  <sheetViews>
    <sheetView workbookViewId="0">
      <selection activeCell="B6" sqref="B6"/>
    </sheetView>
  </sheetViews>
  <sheetFormatPr defaultRowHeight="12.95"/>
  <cols>
    <col min="1" max="1" width="4.33203125" style="137" customWidth="1"/>
    <col min="2" max="2" width="104.5" style="73" customWidth="1"/>
  </cols>
  <sheetData>
    <row r="1" spans="1:23" s="62" customFormat="1" ht="14.45">
      <c r="A1" s="201" t="s">
        <v>0</v>
      </c>
      <c r="B1" s="201"/>
      <c r="C1" s="63"/>
      <c r="D1" s="63"/>
      <c r="E1" s="63"/>
      <c r="F1" s="63"/>
      <c r="G1" s="63"/>
      <c r="H1" s="63"/>
      <c r="I1" s="63"/>
      <c r="J1" s="63"/>
      <c r="K1" s="63"/>
      <c r="L1" s="63"/>
      <c r="M1" s="64"/>
      <c r="N1" s="64"/>
      <c r="O1" s="64"/>
      <c r="P1" s="64"/>
      <c r="Q1" s="64"/>
      <c r="R1" s="64"/>
      <c r="S1" s="64"/>
      <c r="T1" s="64"/>
      <c r="U1" s="64"/>
      <c r="V1" s="64"/>
      <c r="W1" s="64"/>
    </row>
    <row r="2" spans="1:23" s="62" customFormat="1" ht="14.45">
      <c r="A2" s="70"/>
      <c r="B2" s="68"/>
      <c r="C2" s="63"/>
      <c r="D2" s="63"/>
      <c r="E2" s="63"/>
      <c r="F2" s="63"/>
      <c r="G2" s="63"/>
      <c r="H2" s="63"/>
      <c r="I2" s="64"/>
      <c r="K2" s="64"/>
      <c r="L2" s="64"/>
      <c r="M2" s="64"/>
      <c r="N2" s="64"/>
      <c r="O2" s="64"/>
      <c r="P2" s="64"/>
      <c r="Q2" s="64"/>
      <c r="R2" s="64"/>
      <c r="S2" s="64"/>
      <c r="T2" s="64"/>
      <c r="U2" s="64"/>
      <c r="V2" s="64"/>
      <c r="W2" s="64"/>
    </row>
    <row r="3" spans="1:23" s="62" customFormat="1" ht="14.45">
      <c r="A3" s="200" t="s">
        <v>1</v>
      </c>
      <c r="B3" s="200"/>
      <c r="C3" s="63"/>
      <c r="D3" s="63"/>
      <c r="E3" s="63"/>
      <c r="F3" s="63"/>
      <c r="G3" s="63"/>
      <c r="H3" s="63"/>
      <c r="I3" s="63"/>
      <c r="J3" s="63"/>
      <c r="K3" s="63"/>
      <c r="L3" s="63"/>
      <c r="M3" s="64"/>
      <c r="N3" s="64"/>
      <c r="O3" s="64"/>
      <c r="P3" s="64"/>
      <c r="Q3" s="64"/>
      <c r="R3" s="64"/>
      <c r="S3" s="64"/>
      <c r="T3" s="64"/>
      <c r="U3" s="64"/>
      <c r="V3" s="64"/>
      <c r="W3" s="64"/>
    </row>
    <row r="4" spans="1:23" s="62" customFormat="1" ht="15" customHeight="1">
      <c r="A4" s="70">
        <v>1</v>
      </c>
      <c r="B4" s="71" t="s">
        <v>2</v>
      </c>
      <c r="C4" s="65"/>
      <c r="D4" s="65"/>
      <c r="E4" s="65"/>
      <c r="F4" s="65"/>
      <c r="G4" s="65"/>
      <c r="H4" s="65"/>
      <c r="I4" s="65"/>
      <c r="J4" s="65"/>
      <c r="K4" s="65"/>
      <c r="L4" s="65"/>
      <c r="M4" s="64"/>
      <c r="N4" s="64"/>
      <c r="O4" s="64"/>
      <c r="P4" s="64"/>
      <c r="Q4" s="64"/>
      <c r="R4" s="64"/>
      <c r="S4" s="64"/>
      <c r="T4" s="64"/>
      <c r="U4" s="64"/>
      <c r="V4" s="64"/>
      <c r="W4" s="64"/>
    </row>
    <row r="5" spans="1:23" s="64" customFormat="1" ht="57.95">
      <c r="A5" s="70">
        <v>2</v>
      </c>
      <c r="B5" s="71" t="s">
        <v>3</v>
      </c>
      <c r="C5" s="65"/>
      <c r="D5" s="65"/>
      <c r="E5" s="65"/>
      <c r="F5" s="65"/>
      <c r="G5" s="65"/>
      <c r="H5" s="65"/>
      <c r="I5" s="65"/>
      <c r="J5" s="65"/>
      <c r="K5" s="65"/>
      <c r="L5" s="65"/>
    </row>
    <row r="6" spans="1:23" s="64" customFormat="1" ht="43.5">
      <c r="A6" s="70">
        <v>3</v>
      </c>
      <c r="B6" s="71" t="s">
        <v>4</v>
      </c>
      <c r="C6" s="65"/>
      <c r="D6" s="65"/>
      <c r="E6" s="65"/>
      <c r="F6" s="65"/>
      <c r="G6" s="65"/>
      <c r="H6" s="65"/>
      <c r="I6" s="65"/>
      <c r="J6" s="65"/>
      <c r="K6" s="65"/>
      <c r="L6" s="65"/>
    </row>
    <row r="7" spans="1:23" s="64" customFormat="1" ht="29.1">
      <c r="A7" s="70">
        <v>4</v>
      </c>
      <c r="B7" s="71" t="s">
        <v>5</v>
      </c>
      <c r="C7" s="65"/>
      <c r="D7" s="65"/>
      <c r="E7" s="65"/>
      <c r="F7" s="65"/>
      <c r="G7" s="65"/>
      <c r="H7" s="65"/>
      <c r="I7" s="65"/>
      <c r="J7" s="65"/>
      <c r="K7" s="65"/>
      <c r="L7" s="65"/>
    </row>
    <row r="8" spans="1:23" s="64" customFormat="1" ht="14.45">
      <c r="A8" s="70">
        <v>5</v>
      </c>
      <c r="B8" s="71" t="s">
        <v>6</v>
      </c>
      <c r="C8" s="65"/>
      <c r="D8" s="65"/>
      <c r="E8" s="65"/>
      <c r="F8" s="65"/>
      <c r="G8" s="65"/>
      <c r="H8" s="65"/>
      <c r="I8" s="65"/>
      <c r="J8" s="65"/>
      <c r="K8" s="65"/>
      <c r="L8" s="65"/>
    </row>
    <row r="9" spans="1:23" s="64" customFormat="1" ht="14.45">
      <c r="A9" s="70">
        <v>6</v>
      </c>
      <c r="B9" s="71" t="s">
        <v>7</v>
      </c>
      <c r="C9" s="65"/>
      <c r="D9" s="65"/>
      <c r="E9" s="65"/>
      <c r="F9" s="65"/>
      <c r="G9" s="65"/>
      <c r="H9" s="65"/>
      <c r="I9" s="65"/>
      <c r="J9" s="65"/>
      <c r="K9" s="65"/>
      <c r="L9" s="65"/>
    </row>
    <row r="10" spans="1:23" s="64" customFormat="1" ht="14.45">
      <c r="A10" s="70"/>
      <c r="B10" s="72"/>
    </row>
    <row r="11" spans="1:23" s="62" customFormat="1" ht="14.45">
      <c r="A11" s="70"/>
      <c r="B11" s="68"/>
      <c r="C11" s="63"/>
      <c r="D11" s="63"/>
      <c r="E11" s="63"/>
      <c r="F11" s="63"/>
      <c r="G11" s="63"/>
      <c r="H11" s="63"/>
      <c r="I11" s="64"/>
      <c r="K11" s="64"/>
      <c r="L11" s="64"/>
      <c r="M11" s="64"/>
      <c r="N11" s="64"/>
      <c r="O11" s="64"/>
      <c r="P11" s="64"/>
      <c r="Q11" s="64"/>
      <c r="R11" s="64"/>
      <c r="S11" s="64"/>
      <c r="T11" s="64"/>
      <c r="U11" s="64"/>
      <c r="V11" s="64"/>
      <c r="W11" s="64"/>
    </row>
    <row r="12" spans="1:23" s="64" customFormat="1" ht="14.45">
      <c r="A12" s="70"/>
      <c r="B12" s="72"/>
    </row>
    <row r="13" spans="1:23" s="64" customFormat="1" ht="14.45">
      <c r="A13" s="70"/>
      <c r="B13" s="72"/>
    </row>
    <row r="14" spans="1:23" ht="14.45">
      <c r="A14" s="202" t="s">
        <v>8</v>
      </c>
      <c r="B14" s="202"/>
      <c r="C14" s="66"/>
      <c r="D14" s="66"/>
      <c r="E14" s="66"/>
      <c r="F14" s="66"/>
      <c r="G14" s="66"/>
      <c r="H14" s="66"/>
      <c r="I14" s="66"/>
      <c r="J14" s="66"/>
      <c r="K14" s="66"/>
    </row>
    <row r="15" spans="1:23" ht="14.45">
      <c r="A15" s="70">
        <v>1</v>
      </c>
      <c r="B15" s="71" t="s">
        <v>9</v>
      </c>
      <c r="C15" s="66"/>
      <c r="D15" s="66"/>
      <c r="E15" s="66"/>
      <c r="F15" s="66"/>
      <c r="G15" s="66"/>
      <c r="H15" s="66"/>
      <c r="I15" s="66"/>
      <c r="J15" s="66"/>
      <c r="K15" s="66"/>
    </row>
    <row r="16" spans="1:23" ht="14.45">
      <c r="A16" s="70">
        <v>2</v>
      </c>
      <c r="B16" s="71" t="s">
        <v>10</v>
      </c>
      <c r="C16" s="66"/>
      <c r="D16" s="66"/>
      <c r="E16" s="66"/>
      <c r="F16" s="66"/>
      <c r="G16" s="66"/>
      <c r="H16" s="66"/>
      <c r="I16" s="66"/>
      <c r="J16" s="66"/>
      <c r="K16" s="66"/>
    </row>
    <row r="17" spans="1:11" s="64" customFormat="1" ht="29.1">
      <c r="A17" s="70">
        <v>3</v>
      </c>
      <c r="B17" s="71" t="s">
        <v>11</v>
      </c>
    </row>
    <row r="18" spans="1:11" s="64" customFormat="1" ht="29.1">
      <c r="A18" s="70">
        <v>4</v>
      </c>
      <c r="B18" s="71" t="s">
        <v>12</v>
      </c>
    </row>
    <row r="19" spans="1:11" s="64" customFormat="1" ht="29.1">
      <c r="A19" s="70">
        <v>5</v>
      </c>
      <c r="B19" s="71" t="s">
        <v>13</v>
      </c>
    </row>
    <row r="20" spans="1:11" s="64" customFormat="1" ht="14.45">
      <c r="A20" s="70">
        <v>6</v>
      </c>
      <c r="B20" s="72" t="s">
        <v>14</v>
      </c>
    </row>
    <row r="21" spans="1:11" s="64" customFormat="1" ht="14.45">
      <c r="A21" s="70">
        <v>7</v>
      </c>
      <c r="B21" s="72" t="s">
        <v>15</v>
      </c>
    </row>
    <row r="22" spans="1:11" s="64" customFormat="1" ht="14.45">
      <c r="A22" s="70"/>
      <c r="B22" s="72"/>
    </row>
    <row r="23" spans="1:11" s="64" customFormat="1" ht="14.45">
      <c r="A23" s="70"/>
      <c r="B23" s="72"/>
    </row>
    <row r="24" spans="1:11" s="64" customFormat="1" ht="14.45">
      <c r="A24" s="70"/>
      <c r="B24" s="72"/>
    </row>
    <row r="25" spans="1:11" s="64" customFormat="1" ht="14.45">
      <c r="A25" s="70"/>
      <c r="B25" s="72"/>
    </row>
    <row r="26" spans="1:11" ht="14.45">
      <c r="A26" s="202" t="s">
        <v>16</v>
      </c>
      <c r="B26" s="202"/>
      <c r="C26" s="66"/>
      <c r="D26" s="66"/>
      <c r="E26" s="66"/>
      <c r="F26" s="66"/>
      <c r="G26" s="66"/>
      <c r="H26" s="66"/>
      <c r="I26" s="66"/>
      <c r="J26" s="66"/>
      <c r="K26" s="66"/>
    </row>
    <row r="27" spans="1:11" s="64" customFormat="1" ht="14.45">
      <c r="A27" s="199" t="s">
        <v>17</v>
      </c>
      <c r="B27" s="199"/>
    </row>
    <row r="28" spans="1:11" s="64" customFormat="1" ht="43.5">
      <c r="A28" s="70">
        <v>1</v>
      </c>
      <c r="B28" s="71" t="s">
        <v>18</v>
      </c>
      <c r="C28" s="67"/>
      <c r="D28" s="67"/>
      <c r="E28" s="67"/>
      <c r="F28" s="67"/>
      <c r="G28" s="67"/>
      <c r="H28" s="67"/>
      <c r="I28" s="67"/>
      <c r="J28" s="67"/>
      <c r="K28" s="67"/>
    </row>
    <row r="29" spans="1:11" s="64" customFormat="1" ht="14.45">
      <c r="A29" s="70"/>
      <c r="B29" s="71"/>
      <c r="C29" s="67"/>
      <c r="D29" s="67"/>
      <c r="E29" s="67"/>
      <c r="F29" s="67"/>
      <c r="G29" s="67"/>
      <c r="H29" s="67"/>
      <c r="I29" s="67"/>
      <c r="J29" s="67"/>
      <c r="K29" s="67"/>
    </row>
    <row r="30" spans="1:11" s="64" customFormat="1" ht="14.45">
      <c r="A30" s="199" t="s">
        <v>19</v>
      </c>
      <c r="B30" s="199"/>
    </row>
    <row r="31" spans="1:11" s="64" customFormat="1" ht="57.95">
      <c r="A31" s="70">
        <v>1</v>
      </c>
      <c r="B31" s="71" t="s">
        <v>20</v>
      </c>
      <c r="C31" s="67"/>
      <c r="D31" s="67"/>
      <c r="E31" s="67"/>
      <c r="F31" s="67"/>
      <c r="G31" s="67"/>
      <c r="H31" s="67"/>
      <c r="I31" s="67"/>
      <c r="J31" s="67"/>
      <c r="K31" s="67"/>
    </row>
    <row r="32" spans="1:11" s="64" customFormat="1" ht="33.75" customHeight="1">
      <c r="A32" s="70">
        <v>2</v>
      </c>
      <c r="B32" s="71" t="s">
        <v>21</v>
      </c>
      <c r="C32" s="67"/>
      <c r="D32" s="67"/>
      <c r="E32" s="67"/>
      <c r="F32" s="67"/>
      <c r="G32" s="67"/>
      <c r="H32" s="67"/>
      <c r="I32" s="67"/>
      <c r="J32" s="67"/>
      <c r="K32" s="67"/>
    </row>
    <row r="33" spans="1:11" s="64" customFormat="1" ht="14.45">
      <c r="A33" s="70"/>
      <c r="B33" s="71"/>
      <c r="C33" s="67"/>
      <c r="D33" s="67"/>
      <c r="E33" s="67"/>
      <c r="F33" s="67"/>
      <c r="G33" s="67"/>
      <c r="H33" s="67"/>
      <c r="I33" s="67"/>
      <c r="J33" s="67"/>
      <c r="K33" s="67"/>
    </row>
    <row r="34" spans="1:11" s="64" customFormat="1" ht="14.45">
      <c r="A34" s="199" t="s">
        <v>22</v>
      </c>
      <c r="B34" s="199"/>
    </row>
    <row r="35" spans="1:11" s="64" customFormat="1" ht="29.1">
      <c r="A35" s="70">
        <v>1</v>
      </c>
      <c r="B35" s="71" t="s">
        <v>23</v>
      </c>
      <c r="C35" s="67"/>
      <c r="D35" s="67"/>
      <c r="E35" s="67"/>
      <c r="F35" s="67"/>
      <c r="G35" s="67"/>
      <c r="H35" s="67"/>
      <c r="I35" s="67"/>
      <c r="J35" s="67"/>
      <c r="K35" s="67"/>
    </row>
    <row r="36" spans="1:11" s="64" customFormat="1" ht="43.5">
      <c r="A36" s="70">
        <v>2</v>
      </c>
      <c r="B36" s="71" t="s">
        <v>24</v>
      </c>
      <c r="C36" s="67"/>
      <c r="D36" s="67"/>
      <c r="E36" s="67"/>
      <c r="F36" s="67"/>
      <c r="G36" s="67"/>
      <c r="H36" s="67"/>
      <c r="I36" s="67"/>
      <c r="J36" s="67"/>
      <c r="K36" s="67"/>
    </row>
    <row r="37" spans="1:11" s="64" customFormat="1" ht="29.1">
      <c r="A37" s="70" t="s">
        <v>25</v>
      </c>
      <c r="B37" s="71" t="s">
        <v>26</v>
      </c>
      <c r="D37" s="67"/>
      <c r="E37" s="67"/>
      <c r="F37" s="67"/>
      <c r="G37" s="67"/>
      <c r="H37" s="67"/>
      <c r="I37" s="67"/>
      <c r="J37" s="67"/>
      <c r="K37" s="67"/>
    </row>
    <row r="38" spans="1:11" s="64" customFormat="1" ht="30" customHeight="1">
      <c r="A38" s="70" t="s">
        <v>27</v>
      </c>
      <c r="B38" s="71" t="s">
        <v>28</v>
      </c>
      <c r="D38" s="67"/>
      <c r="E38" s="67"/>
      <c r="F38" s="67"/>
      <c r="G38" s="67"/>
      <c r="H38" s="67"/>
      <c r="I38" s="67"/>
      <c r="J38" s="67"/>
      <c r="K38" s="67"/>
    </row>
    <row r="39" spans="1:11" s="64" customFormat="1" ht="57.95">
      <c r="A39" s="70" t="s">
        <v>29</v>
      </c>
      <c r="B39" s="71" t="s">
        <v>30</v>
      </c>
      <c r="D39" s="67"/>
      <c r="E39" s="67"/>
      <c r="F39" s="67"/>
      <c r="G39" s="67"/>
      <c r="H39" s="67"/>
      <c r="I39" s="67"/>
      <c r="J39" s="67"/>
      <c r="K39" s="67"/>
    </row>
    <row r="40" spans="1:11" s="64" customFormat="1" ht="29.1">
      <c r="A40" s="70" t="s">
        <v>31</v>
      </c>
      <c r="B40" s="71" t="s">
        <v>32</v>
      </c>
      <c r="D40" s="67"/>
      <c r="E40" s="67"/>
      <c r="F40" s="67"/>
      <c r="G40" s="67"/>
      <c r="H40" s="67"/>
      <c r="I40" s="67"/>
      <c r="J40" s="67"/>
      <c r="K40" s="67"/>
    </row>
    <row r="41" spans="1:11" s="64" customFormat="1" ht="14.45">
      <c r="A41" s="70" t="s">
        <v>33</v>
      </c>
      <c r="B41" s="71" t="s">
        <v>34</v>
      </c>
      <c r="D41" s="67"/>
      <c r="E41" s="67"/>
      <c r="F41" s="67"/>
      <c r="G41" s="67"/>
      <c r="H41" s="67"/>
      <c r="I41" s="67"/>
      <c r="J41" s="67"/>
      <c r="K41" s="67"/>
    </row>
    <row r="42" spans="1:11" s="64" customFormat="1" ht="29.1">
      <c r="A42" s="70">
        <v>3</v>
      </c>
      <c r="B42" s="71" t="s">
        <v>35</v>
      </c>
      <c r="C42" s="67"/>
      <c r="D42" s="67"/>
      <c r="E42" s="67"/>
      <c r="F42" s="67"/>
      <c r="G42" s="67"/>
      <c r="H42" s="67"/>
      <c r="I42" s="67"/>
      <c r="J42" s="67"/>
      <c r="K42" s="67"/>
    </row>
    <row r="43" spans="1:11" s="64" customFormat="1" ht="29.1">
      <c r="A43" s="70">
        <v>4</v>
      </c>
      <c r="B43" s="71" t="s">
        <v>36</v>
      </c>
      <c r="C43" s="67"/>
      <c r="D43" s="67"/>
      <c r="E43" s="67"/>
      <c r="F43" s="67"/>
      <c r="G43" s="67"/>
      <c r="H43" s="67"/>
      <c r="I43" s="67"/>
      <c r="J43" s="67"/>
      <c r="K43" s="67"/>
    </row>
    <row r="44" spans="1:11" s="64" customFormat="1" ht="14.45">
      <c r="A44" s="70"/>
      <c r="B44" s="71"/>
      <c r="C44" s="67"/>
      <c r="D44" s="67"/>
      <c r="E44" s="67"/>
      <c r="F44" s="67"/>
      <c r="G44" s="67"/>
      <c r="H44" s="67"/>
      <c r="I44" s="67"/>
      <c r="J44" s="67"/>
      <c r="K44" s="67"/>
    </row>
    <row r="45" spans="1:11" s="64" customFormat="1" ht="14.45">
      <c r="A45" s="199" t="s">
        <v>37</v>
      </c>
      <c r="B45" s="199"/>
    </row>
    <row r="46" spans="1:11" s="64" customFormat="1" ht="29.1">
      <c r="A46" s="70">
        <v>1</v>
      </c>
      <c r="B46" s="72" t="s">
        <v>38</v>
      </c>
    </row>
    <row r="47" spans="1:11" s="64" customFormat="1" ht="45" customHeight="1">
      <c r="A47" s="70">
        <v>2</v>
      </c>
      <c r="B47" s="72" t="s">
        <v>39</v>
      </c>
    </row>
    <row r="48" spans="1:11" s="64" customFormat="1" ht="29.1">
      <c r="A48" s="70">
        <v>3</v>
      </c>
      <c r="B48" s="72" t="s">
        <v>40</v>
      </c>
    </row>
    <row r="49" spans="1:2" s="64" customFormat="1" ht="14.45">
      <c r="A49" s="70">
        <v>4</v>
      </c>
      <c r="B49" s="71" t="s">
        <v>34</v>
      </c>
    </row>
    <row r="50" spans="1:2" s="64" customFormat="1" ht="29.1">
      <c r="A50" s="70">
        <v>5</v>
      </c>
      <c r="B50" s="72" t="s">
        <v>41</v>
      </c>
    </row>
    <row r="51" spans="1:2" s="64" customFormat="1" ht="14.45">
      <c r="A51" s="70"/>
      <c r="B51" s="72"/>
    </row>
    <row r="52" spans="1:2" s="64" customFormat="1" ht="14.45">
      <c r="A52" s="199" t="s">
        <v>42</v>
      </c>
      <c r="B52" s="199"/>
    </row>
    <row r="53" spans="1:2" s="64" customFormat="1" ht="29.1">
      <c r="A53" s="70">
        <v>1</v>
      </c>
      <c r="B53" s="72" t="s">
        <v>43</v>
      </c>
    </row>
    <row r="54" spans="1:2" s="64" customFormat="1" ht="43.5">
      <c r="A54" s="70">
        <v>2</v>
      </c>
      <c r="B54" s="71" t="s">
        <v>24</v>
      </c>
    </row>
    <row r="55" spans="1:2" s="64" customFormat="1" ht="29.1">
      <c r="A55" s="70" t="s">
        <v>25</v>
      </c>
      <c r="B55" s="72" t="s">
        <v>44</v>
      </c>
    </row>
    <row r="56" spans="1:2" s="64" customFormat="1" ht="43.5">
      <c r="A56" s="70" t="s">
        <v>27</v>
      </c>
      <c r="B56" s="72" t="s">
        <v>45</v>
      </c>
    </row>
    <row r="57" spans="1:2" s="64" customFormat="1" ht="29.1">
      <c r="A57" s="70" t="s">
        <v>31</v>
      </c>
      <c r="B57" s="72" t="s">
        <v>46</v>
      </c>
    </row>
    <row r="58" spans="1:2" s="64" customFormat="1" ht="14.45">
      <c r="A58" s="70" t="s">
        <v>29</v>
      </c>
      <c r="B58" s="71" t="s">
        <v>34</v>
      </c>
    </row>
    <row r="59" spans="1:2" s="64" customFormat="1" ht="29.1">
      <c r="A59" s="70">
        <v>3</v>
      </c>
      <c r="B59" s="72" t="s">
        <v>47</v>
      </c>
    </row>
    <row r="60" spans="1:2" s="64" customFormat="1" ht="29.1">
      <c r="A60" s="70">
        <v>4</v>
      </c>
      <c r="B60" s="72" t="s">
        <v>48</v>
      </c>
    </row>
    <row r="61" spans="1:2" s="64" customFormat="1" ht="14.45">
      <c r="A61" s="70"/>
    </row>
    <row r="62" spans="1:2" s="64" customFormat="1" ht="14.45">
      <c r="A62" s="199" t="s">
        <v>49</v>
      </c>
      <c r="B62" s="199"/>
    </row>
    <row r="63" spans="1:2" s="64" customFormat="1" ht="14.45">
      <c r="A63" s="70">
        <v>1</v>
      </c>
      <c r="B63" s="72" t="s">
        <v>50</v>
      </c>
    </row>
    <row r="64" spans="1:2" s="64" customFormat="1" ht="43.5">
      <c r="A64" s="70">
        <v>2</v>
      </c>
      <c r="B64" s="72" t="s">
        <v>24</v>
      </c>
    </row>
    <row r="65" spans="1:2" s="64" customFormat="1" ht="15.75" customHeight="1">
      <c r="A65" s="70" t="s">
        <v>25</v>
      </c>
      <c r="B65" s="72" t="s">
        <v>51</v>
      </c>
    </row>
    <row r="66" spans="1:2" s="64" customFormat="1" ht="14.45">
      <c r="A66" s="70" t="s">
        <v>27</v>
      </c>
      <c r="B66" s="71" t="s">
        <v>34</v>
      </c>
    </row>
    <row r="67" spans="1:2" s="64" customFormat="1" ht="57.95">
      <c r="A67" s="70">
        <v>3</v>
      </c>
      <c r="B67" s="72" t="s">
        <v>52</v>
      </c>
    </row>
    <row r="68" spans="1:2" s="64" customFormat="1" ht="29.1">
      <c r="A68" s="70">
        <v>4</v>
      </c>
      <c r="B68" s="72" t="s">
        <v>53</v>
      </c>
    </row>
    <row r="69" spans="1:2" s="64" customFormat="1" ht="29.1">
      <c r="A69" s="70">
        <v>5</v>
      </c>
      <c r="B69" s="72" t="s">
        <v>54</v>
      </c>
    </row>
    <row r="70" spans="1:2" s="64" customFormat="1" ht="14.45">
      <c r="A70" s="70"/>
      <c r="B70" s="72"/>
    </row>
    <row r="71" spans="1:2" s="64" customFormat="1" ht="14.45">
      <c r="A71" s="199" t="s">
        <v>55</v>
      </c>
      <c r="B71" s="199"/>
    </row>
    <row r="72" spans="1:2" s="64" customFormat="1" ht="29.1">
      <c r="A72" s="70">
        <v>1</v>
      </c>
      <c r="B72" s="72" t="s">
        <v>56</v>
      </c>
    </row>
    <row r="73" spans="1:2" s="64" customFormat="1" ht="29.1">
      <c r="A73" s="70">
        <v>2</v>
      </c>
      <c r="B73" s="72" t="s">
        <v>57</v>
      </c>
    </row>
    <row r="74" spans="1:2" s="64" customFormat="1" ht="14.45">
      <c r="A74" s="70"/>
      <c r="B74" s="72"/>
    </row>
    <row r="75" spans="1:2" s="64" customFormat="1" ht="14.45">
      <c r="A75" s="199" t="s">
        <v>58</v>
      </c>
      <c r="B75" s="199"/>
    </row>
    <row r="76" spans="1:2" s="64" customFormat="1" ht="29.1">
      <c r="A76" s="70">
        <v>1</v>
      </c>
      <c r="B76" s="72" t="s">
        <v>59</v>
      </c>
    </row>
    <row r="77" spans="1:2" s="64" customFormat="1" ht="29.1">
      <c r="A77" s="70">
        <v>2</v>
      </c>
      <c r="B77" s="72" t="s">
        <v>60</v>
      </c>
    </row>
    <row r="78" spans="1:2" s="64" customFormat="1" ht="14.45">
      <c r="A78" s="70"/>
      <c r="B78" s="72"/>
    </row>
    <row r="79" spans="1:2" s="64" customFormat="1" ht="14.45">
      <c r="A79" s="199" t="s">
        <v>61</v>
      </c>
      <c r="B79" s="199"/>
    </row>
    <row r="80" spans="1:2" s="64" customFormat="1" ht="29.1">
      <c r="A80" s="70">
        <v>1</v>
      </c>
      <c r="B80" s="72" t="s">
        <v>62</v>
      </c>
    </row>
    <row r="81" spans="1:2" s="64" customFormat="1" ht="29.1">
      <c r="A81" s="70">
        <v>2</v>
      </c>
      <c r="B81" s="72" t="s">
        <v>63</v>
      </c>
    </row>
    <row r="82" spans="1:2" s="64" customFormat="1" ht="14.45">
      <c r="A82" s="70"/>
      <c r="B82" s="72"/>
    </row>
    <row r="83" spans="1:2" s="64" customFormat="1" ht="14.45">
      <c r="A83" s="199" t="s">
        <v>64</v>
      </c>
      <c r="B83" s="199"/>
    </row>
    <row r="84" spans="1:2" s="64" customFormat="1" ht="29.1">
      <c r="A84" s="70">
        <v>1</v>
      </c>
      <c r="B84" s="72" t="s">
        <v>65</v>
      </c>
    </row>
    <row r="85" spans="1:2" s="64" customFormat="1" ht="43.5">
      <c r="A85" s="70">
        <v>2</v>
      </c>
      <c r="B85" s="72" t="s">
        <v>66</v>
      </c>
    </row>
    <row r="86" spans="1:2" s="64" customFormat="1" ht="29.1">
      <c r="A86" s="70" t="s">
        <v>25</v>
      </c>
      <c r="B86" s="72" t="s">
        <v>67</v>
      </c>
    </row>
    <row r="87" spans="1:2" s="64" customFormat="1" ht="29.1">
      <c r="A87" s="70" t="s">
        <v>27</v>
      </c>
      <c r="B87" s="72" t="s">
        <v>68</v>
      </c>
    </row>
    <row r="88" spans="1:2" s="64" customFormat="1" ht="14.45">
      <c r="A88" s="70" t="s">
        <v>31</v>
      </c>
      <c r="B88" s="71" t="s">
        <v>34</v>
      </c>
    </row>
    <row r="89" spans="1:2" s="64" customFormat="1" ht="14.45">
      <c r="A89" s="70">
        <v>3</v>
      </c>
      <c r="B89" s="72" t="s">
        <v>69</v>
      </c>
    </row>
    <row r="90" spans="1:2" s="64" customFormat="1" ht="29.1">
      <c r="A90" s="70">
        <v>4</v>
      </c>
      <c r="B90" s="72" t="s">
        <v>70</v>
      </c>
    </row>
    <row r="91" spans="1:2" s="64" customFormat="1" ht="14.45">
      <c r="A91" s="70"/>
      <c r="B91" s="72"/>
    </row>
    <row r="92" spans="1:2" s="64" customFormat="1" ht="14.45">
      <c r="A92" s="199" t="s">
        <v>71</v>
      </c>
      <c r="B92" s="199"/>
    </row>
    <row r="93" spans="1:2" s="64" customFormat="1" ht="14.45">
      <c r="A93" s="70">
        <v>1</v>
      </c>
      <c r="B93" s="72" t="s">
        <v>72</v>
      </c>
    </row>
    <row r="94" spans="1:2" s="64" customFormat="1" ht="29.1">
      <c r="A94" s="70">
        <v>2</v>
      </c>
      <c r="B94" s="72" t="s">
        <v>73</v>
      </c>
    </row>
    <row r="95" spans="1:2" s="64" customFormat="1" ht="14.45">
      <c r="A95" s="70">
        <v>3</v>
      </c>
      <c r="B95" s="71" t="s">
        <v>34</v>
      </c>
    </row>
    <row r="96" spans="1:2" s="64" customFormat="1" ht="43.5">
      <c r="A96" s="70">
        <v>4</v>
      </c>
      <c r="B96" s="72" t="s">
        <v>74</v>
      </c>
    </row>
    <row r="97" spans="1:2" s="64" customFormat="1" ht="14.45">
      <c r="A97" s="70"/>
      <c r="B97" s="72"/>
    </row>
    <row r="98" spans="1:2" s="64" customFormat="1" ht="14.45">
      <c r="A98" s="199" t="s">
        <v>75</v>
      </c>
      <c r="B98" s="199"/>
    </row>
    <row r="99" spans="1:2" s="64" customFormat="1" ht="29.1">
      <c r="A99" s="70">
        <v>1</v>
      </c>
      <c r="B99" s="72" t="s">
        <v>76</v>
      </c>
    </row>
    <row r="100" spans="1:2" s="64" customFormat="1" ht="29.1">
      <c r="A100" s="70">
        <v>2</v>
      </c>
      <c r="B100" s="72" t="s">
        <v>77</v>
      </c>
    </row>
    <row r="101" spans="1:2" s="64" customFormat="1" ht="33" customHeight="1">
      <c r="A101" s="70">
        <v>3</v>
      </c>
      <c r="B101" s="72" t="s">
        <v>78</v>
      </c>
    </row>
    <row r="102" spans="1:2" s="64" customFormat="1" ht="43.5">
      <c r="A102" s="70">
        <v>4</v>
      </c>
      <c r="B102" s="72" t="s">
        <v>79</v>
      </c>
    </row>
    <row r="103" spans="1:2" s="64" customFormat="1" ht="30.6" customHeight="1">
      <c r="A103" s="70">
        <v>5</v>
      </c>
      <c r="B103" s="72" t="s">
        <v>80</v>
      </c>
    </row>
    <row r="104" spans="1:2" s="64" customFormat="1" ht="14.45">
      <c r="A104" s="70">
        <v>6</v>
      </c>
      <c r="B104" s="71" t="s">
        <v>34</v>
      </c>
    </row>
    <row r="105" spans="1:2" s="64" customFormat="1" ht="29.1">
      <c r="A105" s="70">
        <v>7</v>
      </c>
      <c r="B105" s="72" t="s">
        <v>81</v>
      </c>
    </row>
    <row r="106" spans="1:2" s="64" customFormat="1" ht="14.45">
      <c r="A106" s="70"/>
      <c r="B106" s="72"/>
    </row>
    <row r="107" spans="1:2" s="64" customFormat="1" ht="14.45">
      <c r="A107" s="199" t="s">
        <v>82</v>
      </c>
      <c r="B107" s="199"/>
    </row>
    <row r="108" spans="1:2" s="64" customFormat="1" ht="29.1">
      <c r="A108" s="70">
        <v>1</v>
      </c>
      <c r="B108" s="72" t="s">
        <v>83</v>
      </c>
    </row>
    <row r="109" spans="1:2" s="64" customFormat="1" ht="43.5">
      <c r="A109" s="70" t="s">
        <v>25</v>
      </c>
      <c r="B109" s="72" t="s">
        <v>84</v>
      </c>
    </row>
    <row r="110" spans="1:2" s="64" customFormat="1" ht="29.1">
      <c r="A110" s="70" t="s">
        <v>27</v>
      </c>
      <c r="B110" s="72" t="s">
        <v>85</v>
      </c>
    </row>
    <row r="111" spans="1:2" s="64" customFormat="1" ht="14.45">
      <c r="A111" s="70">
        <v>3</v>
      </c>
      <c r="B111" s="71" t="s">
        <v>34</v>
      </c>
    </row>
    <row r="112" spans="1:2" s="64" customFormat="1" ht="29.1">
      <c r="A112" s="70">
        <v>4</v>
      </c>
      <c r="B112" s="72" t="s">
        <v>86</v>
      </c>
    </row>
  </sheetData>
  <sheetProtection algorithmName="SHA-512" hashValue="MWM7gjK4/BLchwMwlIMA/tce3WRZCEVwYhn6XvCEClTo0dhhjyNyf4ODpebcav8T0/P8U/c6JUGZe4tRY4VcIA==" saltValue="zuM4J7ge2mlGff5qymYD5w==" spinCount="100000" sheet="1" formatCells="0" formatColumns="0" formatRows="0"/>
  <mergeCells count="17">
    <mergeCell ref="A34:B34"/>
    <mergeCell ref="A3:B3"/>
    <mergeCell ref="A1:B1"/>
    <mergeCell ref="A26:B26"/>
    <mergeCell ref="A27:B27"/>
    <mergeCell ref="A30:B30"/>
    <mergeCell ref="A14:B14"/>
    <mergeCell ref="A83:B83"/>
    <mergeCell ref="A92:B92"/>
    <mergeCell ref="A98:B98"/>
    <mergeCell ref="A107:B107"/>
    <mergeCell ref="A45:B45"/>
    <mergeCell ref="A52:B52"/>
    <mergeCell ref="A62:B62"/>
    <mergeCell ref="A71:B71"/>
    <mergeCell ref="A75:B75"/>
    <mergeCell ref="A79:B79"/>
  </mergeCells>
  <pageMargins left="0.25" right="0.25" top="0.75" bottom="0.75" header="0.3" footer="0.3"/>
  <pageSetup orientation="portrait" horizontalDpi="1200" verticalDpi="1200"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72868C-3E76-4931-97E5-641656B071CB}">
  <sheetPr codeName="Sheet3"/>
  <dimension ref="A1:AT1142"/>
  <sheetViews>
    <sheetView topLeftCell="J1" zoomScale="70" zoomScaleNormal="70" workbookViewId="0">
      <selection activeCell="R63" sqref="R63:W83"/>
    </sheetView>
  </sheetViews>
  <sheetFormatPr defaultRowHeight="12.95"/>
  <cols>
    <col min="1" max="1" width="16.5" style="44" customWidth="1"/>
    <col min="2" max="2" width="12.33203125" style="44" bestFit="1" customWidth="1"/>
    <col min="3" max="3" width="5.6640625" style="44" bestFit="1" customWidth="1"/>
    <col min="4" max="4" width="17.5" style="44" bestFit="1" customWidth="1"/>
    <col min="5" max="5" width="16.1640625" style="44" bestFit="1" customWidth="1"/>
    <col min="6" max="6" width="15.5" style="44" bestFit="1" customWidth="1"/>
    <col min="7" max="8" width="15.5" style="44" customWidth="1"/>
    <col min="9" max="9" width="21.5" style="5" customWidth="1"/>
    <col min="10" max="10" width="17" style="5" customWidth="1"/>
    <col min="11" max="11" width="5.1640625" style="5" bestFit="1" customWidth="1"/>
    <col min="12" max="12" width="15.1640625" style="5" customWidth="1"/>
    <col min="13" max="13" width="29.6640625" style="5" customWidth="1"/>
    <col min="14" max="14" width="15.6640625" style="5" bestFit="1" customWidth="1"/>
    <col min="15" max="15" width="5.83203125" style="5" customWidth="1"/>
    <col min="16" max="16" width="18.83203125" style="5" customWidth="1"/>
    <col min="17" max="17" width="9.33203125" style="5" customWidth="1"/>
    <col min="18" max="18" width="29.83203125" style="52" customWidth="1"/>
    <col min="19" max="19" width="10.33203125" style="52" customWidth="1"/>
    <col min="20" max="20" width="5.6640625" style="52" bestFit="1" customWidth="1"/>
    <col min="21" max="21" width="7.6640625" style="52" bestFit="1" customWidth="1"/>
    <col min="22" max="22" width="8.33203125" style="52" bestFit="1" customWidth="1"/>
    <col min="23" max="23" width="10.1640625" style="52" bestFit="1" customWidth="1"/>
    <col min="24" max="24" width="9.33203125" style="5" customWidth="1"/>
    <col min="25" max="25" width="42.1640625" style="44" customWidth="1"/>
    <col min="26" max="26" width="9.33203125" style="44" customWidth="1"/>
    <col min="27" max="27" width="6.33203125" style="5" bestFit="1" customWidth="1"/>
  </cols>
  <sheetData>
    <row r="1" spans="1:30">
      <c r="A1" s="435" t="s">
        <v>476</v>
      </c>
      <c r="B1" s="436"/>
      <c r="C1" s="436"/>
      <c r="D1" s="436"/>
      <c r="E1" s="436"/>
      <c r="F1" s="436"/>
      <c r="G1" s="437"/>
      <c r="H1" s="6"/>
      <c r="L1" s="161" t="s">
        <v>477</v>
      </c>
      <c r="O1" s="144"/>
      <c r="P1" s="138" t="s">
        <v>478</v>
      </c>
      <c r="S1" s="52" t="s">
        <v>479</v>
      </c>
      <c r="Z1" s="6"/>
      <c r="AA1" s="7" t="s">
        <v>480</v>
      </c>
      <c r="AD1" s="3"/>
    </row>
    <row r="2" spans="1:30">
      <c r="A2" s="11" t="s">
        <v>481</v>
      </c>
      <c r="B2" s="6" t="s">
        <v>482</v>
      </c>
      <c r="C2" s="6" t="s">
        <v>483</v>
      </c>
      <c r="D2" s="6" t="s">
        <v>484</v>
      </c>
      <c r="E2" s="6" t="s">
        <v>485</v>
      </c>
      <c r="F2" s="6" t="s">
        <v>486</v>
      </c>
      <c r="G2" s="36" t="s">
        <v>487</v>
      </c>
      <c r="H2" s="6"/>
      <c r="I2" s="6"/>
      <c r="J2" s="432" t="s">
        <v>488</v>
      </c>
      <c r="K2" s="433"/>
      <c r="L2" s="433"/>
      <c r="M2" s="433"/>
      <c r="N2" s="434"/>
      <c r="O2" s="144"/>
      <c r="P2" s="146" t="s">
        <v>489</v>
      </c>
      <c r="Q2" s="6"/>
      <c r="R2" s="429" t="s">
        <v>490</v>
      </c>
      <c r="S2" s="430"/>
      <c r="T2" s="430"/>
      <c r="U2" s="430"/>
      <c r="V2" s="430"/>
      <c r="W2" s="431"/>
      <c r="Y2" s="171" t="s">
        <v>478</v>
      </c>
      <c r="Z2" s="6"/>
      <c r="AA2" s="8" t="e">
        <f>VLOOKUP('11.17'!G4,A3:C62,3,FALSE)</f>
        <v>#N/A</v>
      </c>
      <c r="AD2" s="3"/>
    </row>
    <row r="3" spans="1:30">
      <c r="A3" s="12" t="s">
        <v>491</v>
      </c>
      <c r="B3" s="9" t="s">
        <v>492</v>
      </c>
      <c r="C3" s="9">
        <v>3</v>
      </c>
      <c r="D3" s="9" t="s">
        <v>493</v>
      </c>
      <c r="E3" s="10">
        <v>13600</v>
      </c>
      <c r="F3" s="10">
        <v>3600</v>
      </c>
      <c r="G3" s="13">
        <v>16245</v>
      </c>
      <c r="H3" s="10"/>
      <c r="I3" s="6" t="s">
        <v>494</v>
      </c>
      <c r="K3" s="6" t="s">
        <v>483</v>
      </c>
      <c r="L3" s="6" t="s">
        <v>495</v>
      </c>
      <c r="M3" s="6" t="s">
        <v>496</v>
      </c>
      <c r="N3" s="37" t="s">
        <v>484</v>
      </c>
      <c r="O3" s="44"/>
      <c r="P3" s="147" t="s">
        <v>479</v>
      </c>
      <c r="R3" s="15" t="s">
        <v>497</v>
      </c>
      <c r="S3" s="16" t="s">
        <v>498</v>
      </c>
      <c r="T3" s="16" t="s">
        <v>483</v>
      </c>
      <c r="U3" s="16" t="s">
        <v>499</v>
      </c>
      <c r="V3" s="16" t="s">
        <v>500</v>
      </c>
      <c r="W3" s="17" t="s">
        <v>501</v>
      </c>
      <c r="Y3" s="172" t="s">
        <v>502</v>
      </c>
      <c r="AD3" s="3"/>
    </row>
    <row r="4" spans="1:30">
      <c r="A4" s="12" t="s">
        <v>503</v>
      </c>
      <c r="B4" s="9" t="s">
        <v>504</v>
      </c>
      <c r="C4" s="9">
        <v>2</v>
      </c>
      <c r="D4" s="9" t="s">
        <v>505</v>
      </c>
      <c r="E4" s="10">
        <v>16421</v>
      </c>
      <c r="F4" s="10">
        <v>1625</v>
      </c>
      <c r="G4" s="13">
        <v>17521</v>
      </c>
      <c r="H4" s="10"/>
      <c r="I4" s="152" t="s">
        <v>479</v>
      </c>
      <c r="J4" s="145" t="s">
        <v>479</v>
      </c>
      <c r="K4" s="152">
        <v>2</v>
      </c>
      <c r="L4" s="161" t="s">
        <v>477</v>
      </c>
      <c r="M4" s="140" t="str">
        <f>_xlfn.CONCAT(J4,K4,L4)</f>
        <v>ALLCO2Harvey</v>
      </c>
      <c r="N4" s="141" t="s">
        <v>506</v>
      </c>
      <c r="O4" s="44"/>
      <c r="P4" s="148" t="s">
        <v>507</v>
      </c>
      <c r="R4" s="40" t="s">
        <v>508</v>
      </c>
      <c r="S4" s="41">
        <v>2</v>
      </c>
      <c r="T4" s="41">
        <v>2</v>
      </c>
      <c r="U4" s="42">
        <v>1356</v>
      </c>
      <c r="V4" s="41">
        <v>139.69</v>
      </c>
      <c r="W4" s="43">
        <v>40</v>
      </c>
      <c r="Y4" s="173" t="s">
        <v>509</v>
      </c>
      <c r="AD4" s="3"/>
    </row>
    <row r="5" spans="1:30">
      <c r="A5" s="12" t="s">
        <v>510</v>
      </c>
      <c r="B5" s="9" t="s">
        <v>492</v>
      </c>
      <c r="C5" s="9">
        <v>4</v>
      </c>
      <c r="D5" s="9" t="s">
        <v>511</v>
      </c>
      <c r="E5" s="10">
        <v>14515</v>
      </c>
      <c r="F5" s="10">
        <v>3720</v>
      </c>
      <c r="G5" s="13">
        <v>17160</v>
      </c>
      <c r="H5" s="10"/>
      <c r="I5" s="38" t="s">
        <v>507</v>
      </c>
      <c r="J5" s="169" t="s">
        <v>507</v>
      </c>
      <c r="K5" s="38">
        <v>2</v>
      </c>
      <c r="L5" s="162" t="s">
        <v>477</v>
      </c>
      <c r="M5" s="59" t="str">
        <f t="shared" ref="M5:M33" si="0">_xlfn.CONCAT(J5,K5,L5)</f>
        <v>Brizo2Harvey</v>
      </c>
      <c r="N5" s="39" t="s">
        <v>512</v>
      </c>
      <c r="O5" s="44"/>
      <c r="P5" s="148" t="s">
        <v>513</v>
      </c>
      <c r="R5" s="40" t="s">
        <v>508</v>
      </c>
      <c r="S5" s="41">
        <v>2</v>
      </c>
      <c r="T5" s="41">
        <v>3</v>
      </c>
      <c r="U5" s="42">
        <v>1356</v>
      </c>
      <c r="V5" s="41">
        <v>140.16999999999999</v>
      </c>
      <c r="W5" s="43">
        <v>40</v>
      </c>
      <c r="Y5" s="173" t="s">
        <v>514</v>
      </c>
      <c r="AD5" s="3"/>
    </row>
    <row r="6" spans="1:30">
      <c r="A6" s="45" t="s">
        <v>515</v>
      </c>
      <c r="B6" s="44" t="s">
        <v>492</v>
      </c>
      <c r="C6" s="9">
        <v>3</v>
      </c>
      <c r="D6" s="44" t="s">
        <v>493</v>
      </c>
      <c r="E6" s="46">
        <v>13600</v>
      </c>
      <c r="F6" s="46">
        <v>3600</v>
      </c>
      <c r="G6" s="47">
        <v>16245</v>
      </c>
      <c r="H6" s="46"/>
      <c r="I6" s="38" t="s">
        <v>516</v>
      </c>
      <c r="J6" s="169" t="s">
        <v>507</v>
      </c>
      <c r="K6" s="38">
        <v>3</v>
      </c>
      <c r="L6" s="162" t="s">
        <v>477</v>
      </c>
      <c r="M6" s="59" t="str">
        <f t="shared" si="0"/>
        <v>Brizo3Harvey</v>
      </c>
      <c r="N6" s="39" t="s">
        <v>517</v>
      </c>
      <c r="O6" s="44"/>
      <c r="P6" s="148" t="s">
        <v>516</v>
      </c>
      <c r="R6" s="40" t="s">
        <v>508</v>
      </c>
      <c r="S6" s="41">
        <v>2</v>
      </c>
      <c r="T6" s="41">
        <v>4</v>
      </c>
      <c r="U6" s="42">
        <v>1356</v>
      </c>
      <c r="V6" s="41">
        <v>139.15</v>
      </c>
      <c r="W6" s="43">
        <v>40</v>
      </c>
      <c r="Y6" s="173" t="s">
        <v>518</v>
      </c>
      <c r="AD6" s="3"/>
    </row>
    <row r="7" spans="1:30">
      <c r="A7" s="12" t="s">
        <v>519</v>
      </c>
      <c r="B7" s="9" t="s">
        <v>520</v>
      </c>
      <c r="C7" s="9">
        <v>2</v>
      </c>
      <c r="D7" s="9" t="s">
        <v>521</v>
      </c>
      <c r="E7" s="10">
        <v>9686.61</v>
      </c>
      <c r="F7" s="10">
        <v>1200</v>
      </c>
      <c r="G7" s="13">
        <v>10536.61</v>
      </c>
      <c r="H7" s="10"/>
      <c r="I7" s="38" t="s">
        <v>522</v>
      </c>
      <c r="J7" s="169" t="s">
        <v>507</v>
      </c>
      <c r="K7" s="38">
        <v>4</v>
      </c>
      <c r="L7" s="162" t="s">
        <v>477</v>
      </c>
      <c r="M7" s="59" t="str">
        <f t="shared" si="0"/>
        <v>Brizo4Harvey</v>
      </c>
      <c r="N7" s="39" t="s">
        <v>523</v>
      </c>
      <c r="O7" s="44"/>
      <c r="P7" s="148" t="s">
        <v>522</v>
      </c>
      <c r="R7" s="40" t="s">
        <v>524</v>
      </c>
      <c r="S7" s="41">
        <v>4</v>
      </c>
      <c r="T7" s="41">
        <v>2</v>
      </c>
      <c r="U7" s="42">
        <v>1517</v>
      </c>
      <c r="V7" s="41">
        <v>135.41</v>
      </c>
      <c r="W7" s="43">
        <v>40</v>
      </c>
      <c r="Y7" s="173" t="s">
        <v>525</v>
      </c>
      <c r="AD7" s="3"/>
    </row>
    <row r="8" spans="1:30">
      <c r="A8" s="45" t="s">
        <v>526</v>
      </c>
      <c r="B8" s="44" t="s">
        <v>492</v>
      </c>
      <c r="C8" s="9">
        <v>2</v>
      </c>
      <c r="D8" s="44" t="s">
        <v>511</v>
      </c>
      <c r="E8" s="46">
        <v>14515</v>
      </c>
      <c r="F8" s="46">
        <v>3720</v>
      </c>
      <c r="G8" s="47">
        <v>17160</v>
      </c>
      <c r="H8" s="46"/>
      <c r="I8" s="38" t="s">
        <v>527</v>
      </c>
      <c r="J8" s="169" t="s">
        <v>516</v>
      </c>
      <c r="K8" s="38">
        <v>2</v>
      </c>
      <c r="L8" s="162" t="s">
        <v>477</v>
      </c>
      <c r="M8" s="59" t="str">
        <f t="shared" si="0"/>
        <v>Brydson2Harvey</v>
      </c>
      <c r="N8" s="39" t="s">
        <v>528</v>
      </c>
      <c r="O8" s="44"/>
      <c r="P8" s="148" t="s">
        <v>527</v>
      </c>
      <c r="R8" s="40" t="s">
        <v>524</v>
      </c>
      <c r="S8" s="41">
        <v>4</v>
      </c>
      <c r="T8" s="41">
        <v>3</v>
      </c>
      <c r="U8" s="42">
        <v>1517</v>
      </c>
      <c r="V8" s="157">
        <v>138.6</v>
      </c>
      <c r="W8" s="43">
        <v>40</v>
      </c>
      <c r="Y8" s="173" t="s">
        <v>529</v>
      </c>
      <c r="AD8" s="3"/>
    </row>
    <row r="9" spans="1:30">
      <c r="A9" s="45" t="s">
        <v>530</v>
      </c>
      <c r="B9" s="44" t="s">
        <v>492</v>
      </c>
      <c r="C9" s="9">
        <v>4</v>
      </c>
      <c r="D9" s="44" t="s">
        <v>511</v>
      </c>
      <c r="E9" s="46">
        <v>14515</v>
      </c>
      <c r="F9" s="46">
        <v>3720</v>
      </c>
      <c r="G9" s="47">
        <v>17160</v>
      </c>
      <c r="H9" s="46"/>
      <c r="I9" s="38" t="s">
        <v>531</v>
      </c>
      <c r="J9" s="169" t="s">
        <v>522</v>
      </c>
      <c r="K9" s="38">
        <v>2</v>
      </c>
      <c r="L9" s="162" t="s">
        <v>477</v>
      </c>
      <c r="M9" s="59" t="str">
        <f t="shared" si="0"/>
        <v>Core2Harvey</v>
      </c>
      <c r="N9" s="39" t="s">
        <v>532</v>
      </c>
      <c r="O9" s="44"/>
      <c r="P9" s="148" t="s">
        <v>531</v>
      </c>
      <c r="R9" s="40" t="s">
        <v>524</v>
      </c>
      <c r="S9" s="41">
        <v>4</v>
      </c>
      <c r="T9" s="41">
        <v>4</v>
      </c>
      <c r="U9" s="42">
        <v>1517</v>
      </c>
      <c r="V9" s="41">
        <v>135.63</v>
      </c>
      <c r="W9" s="43">
        <v>40</v>
      </c>
      <c r="Y9" s="173" t="s">
        <v>533</v>
      </c>
      <c r="AD9" s="3"/>
    </row>
    <row r="10" spans="1:30">
      <c r="A10" s="45" t="s">
        <v>534</v>
      </c>
      <c r="B10" s="44" t="s">
        <v>492</v>
      </c>
      <c r="C10" s="9">
        <v>4</v>
      </c>
      <c r="D10" s="44" t="s">
        <v>511</v>
      </c>
      <c r="E10" s="46">
        <v>14515</v>
      </c>
      <c r="F10" s="46">
        <v>3720</v>
      </c>
      <c r="G10" s="47">
        <v>17160</v>
      </c>
      <c r="H10" s="46"/>
      <c r="I10" s="38" t="s">
        <v>535</v>
      </c>
      <c r="J10" s="169" t="s">
        <v>522</v>
      </c>
      <c r="K10" s="38">
        <v>3</v>
      </c>
      <c r="L10" s="162" t="s">
        <v>477</v>
      </c>
      <c r="M10" s="59" t="str">
        <f t="shared" si="0"/>
        <v>Core3Harvey</v>
      </c>
      <c r="N10" s="39" t="s">
        <v>536</v>
      </c>
      <c r="O10" s="44"/>
      <c r="P10" s="150" t="s">
        <v>537</v>
      </c>
      <c r="R10" s="40" t="s">
        <v>538</v>
      </c>
      <c r="S10" s="41">
        <v>2</v>
      </c>
      <c r="T10" s="41">
        <v>2</v>
      </c>
      <c r="U10" s="42">
        <v>1231</v>
      </c>
      <c r="V10" s="41">
        <v>139.69</v>
      </c>
      <c r="W10" s="43">
        <v>30</v>
      </c>
      <c r="Y10" s="173" t="s">
        <v>539</v>
      </c>
      <c r="AD10" s="3"/>
    </row>
    <row r="11" spans="1:30">
      <c r="A11" s="45" t="s">
        <v>540</v>
      </c>
      <c r="B11" s="44" t="s">
        <v>492</v>
      </c>
      <c r="C11" s="9">
        <v>3</v>
      </c>
      <c r="D11" s="9" t="s">
        <v>541</v>
      </c>
      <c r="E11" s="10">
        <v>15100</v>
      </c>
      <c r="F11" s="10">
        <v>3900</v>
      </c>
      <c r="G11" s="13">
        <v>18100</v>
      </c>
      <c r="H11" s="10"/>
      <c r="I11" s="38" t="s">
        <v>542</v>
      </c>
      <c r="J11" s="169" t="s">
        <v>522</v>
      </c>
      <c r="K11" s="38">
        <v>4</v>
      </c>
      <c r="L11" s="162" t="s">
        <v>477</v>
      </c>
      <c r="M11" s="59" t="str">
        <f t="shared" si="0"/>
        <v>Core4Harvey</v>
      </c>
      <c r="N11" s="39" t="s">
        <v>543</v>
      </c>
      <c r="O11" s="44"/>
      <c r="P11" s="148" t="s">
        <v>535</v>
      </c>
      <c r="R11" s="40" t="s">
        <v>538</v>
      </c>
      <c r="S11" s="41">
        <v>2</v>
      </c>
      <c r="T11" s="41">
        <v>3</v>
      </c>
      <c r="U11" s="42">
        <v>1231</v>
      </c>
      <c r="V11" s="41">
        <v>140.16999999999999</v>
      </c>
      <c r="W11" s="43">
        <v>30</v>
      </c>
      <c r="Y11" s="173" t="s">
        <v>544</v>
      </c>
      <c r="AD11" s="3"/>
    </row>
    <row r="12" spans="1:30">
      <c r="A12" s="12" t="s">
        <v>545</v>
      </c>
      <c r="B12" s="9" t="s">
        <v>520</v>
      </c>
      <c r="C12" s="9">
        <v>2</v>
      </c>
      <c r="D12" s="9" t="s">
        <v>521</v>
      </c>
      <c r="E12" s="10">
        <v>9686.61</v>
      </c>
      <c r="F12" s="10">
        <v>1200</v>
      </c>
      <c r="G12" s="13">
        <v>10536.61</v>
      </c>
      <c r="H12" s="10"/>
      <c r="I12" s="38" t="s">
        <v>546</v>
      </c>
      <c r="J12" s="169" t="s">
        <v>527</v>
      </c>
      <c r="K12" s="38">
        <v>2</v>
      </c>
      <c r="L12" s="162" t="s">
        <v>477</v>
      </c>
      <c r="M12" s="59" t="str">
        <f t="shared" si="0"/>
        <v>DRC2Harvey</v>
      </c>
      <c r="N12" s="39" t="s">
        <v>547</v>
      </c>
      <c r="O12" s="44"/>
      <c r="P12" s="148" t="s">
        <v>548</v>
      </c>
      <c r="R12" s="40" t="s">
        <v>538</v>
      </c>
      <c r="S12" s="41">
        <v>2</v>
      </c>
      <c r="T12" s="41">
        <v>4</v>
      </c>
      <c r="U12" s="42">
        <v>1231</v>
      </c>
      <c r="V12" s="41">
        <v>139.15</v>
      </c>
      <c r="W12" s="43">
        <v>30</v>
      </c>
      <c r="Y12" s="173" t="s">
        <v>549</v>
      </c>
      <c r="AD12" s="3"/>
    </row>
    <row r="13" spans="1:30">
      <c r="A13" s="12" t="s">
        <v>550</v>
      </c>
      <c r="B13" s="9" t="s">
        <v>504</v>
      </c>
      <c r="C13" s="9">
        <v>2</v>
      </c>
      <c r="D13" s="9" t="s">
        <v>551</v>
      </c>
      <c r="E13" s="10">
        <v>15445</v>
      </c>
      <c r="F13" s="10">
        <v>1625</v>
      </c>
      <c r="G13" s="13">
        <v>16545</v>
      </c>
      <c r="H13" s="10"/>
      <c r="I13" s="38" t="s">
        <v>552</v>
      </c>
      <c r="J13" s="169" t="s">
        <v>531</v>
      </c>
      <c r="K13" s="38">
        <v>2</v>
      </c>
      <c r="L13" s="162" t="s">
        <v>477</v>
      </c>
      <c r="M13" s="59" t="str">
        <f t="shared" si="0"/>
        <v>DSW2Harvey</v>
      </c>
      <c r="N13" s="39" t="s">
        <v>553</v>
      </c>
      <c r="O13" s="44"/>
      <c r="P13" s="148" t="s">
        <v>554</v>
      </c>
      <c r="R13" s="40" t="s">
        <v>555</v>
      </c>
      <c r="S13" s="41">
        <v>2</v>
      </c>
      <c r="T13" s="41">
        <v>2</v>
      </c>
      <c r="U13" s="42">
        <v>1284</v>
      </c>
      <c r="V13" s="41">
        <v>139.69</v>
      </c>
      <c r="W13" s="43">
        <v>10</v>
      </c>
      <c r="Y13" s="173" t="s">
        <v>556</v>
      </c>
      <c r="AD13" s="3"/>
    </row>
    <row r="14" spans="1:30">
      <c r="A14" s="45" t="s">
        <v>557</v>
      </c>
      <c r="B14" s="44" t="s">
        <v>504</v>
      </c>
      <c r="C14" s="9">
        <v>2</v>
      </c>
      <c r="D14" s="44" t="s">
        <v>505</v>
      </c>
      <c r="E14" s="46">
        <v>16421</v>
      </c>
      <c r="F14" s="46">
        <v>1625</v>
      </c>
      <c r="G14" s="47">
        <v>17521</v>
      </c>
      <c r="H14" s="46"/>
      <c r="I14" s="38" t="s">
        <v>558</v>
      </c>
      <c r="J14" s="169" t="s">
        <v>531</v>
      </c>
      <c r="K14" s="38">
        <v>3</v>
      </c>
      <c r="L14" s="162" t="s">
        <v>477</v>
      </c>
      <c r="M14" s="59" t="str">
        <f t="shared" si="0"/>
        <v>DSW3Harvey</v>
      </c>
      <c r="N14" s="39" t="s">
        <v>559</v>
      </c>
      <c r="P14" s="148" t="s">
        <v>560</v>
      </c>
      <c r="R14" s="40" t="s">
        <v>555</v>
      </c>
      <c r="S14" s="41">
        <v>2</v>
      </c>
      <c r="T14" s="41">
        <v>3</v>
      </c>
      <c r="U14" s="42">
        <v>1284</v>
      </c>
      <c r="V14" s="41">
        <v>140.16999999999999</v>
      </c>
      <c r="W14" s="43">
        <v>10</v>
      </c>
      <c r="Y14" s="173" t="s">
        <v>561</v>
      </c>
      <c r="AD14" s="3"/>
    </row>
    <row r="15" spans="1:30">
      <c r="A15" s="45" t="s">
        <v>562</v>
      </c>
      <c r="B15" s="44" t="s">
        <v>492</v>
      </c>
      <c r="C15" s="9">
        <v>4</v>
      </c>
      <c r="D15" s="44" t="s">
        <v>511</v>
      </c>
      <c r="E15" s="46">
        <v>14515</v>
      </c>
      <c r="F15" s="46">
        <v>3720</v>
      </c>
      <c r="G15" s="47">
        <v>17160</v>
      </c>
      <c r="H15" s="46"/>
      <c r="I15" s="5" t="s">
        <v>563</v>
      </c>
      <c r="J15" s="169" t="s">
        <v>531</v>
      </c>
      <c r="K15" s="38">
        <v>4</v>
      </c>
      <c r="L15" s="162" t="s">
        <v>477</v>
      </c>
      <c r="M15" s="59" t="str">
        <f t="shared" si="0"/>
        <v>DSW4Harvey</v>
      </c>
      <c r="N15" s="39" t="s">
        <v>564</v>
      </c>
      <c r="P15" s="148" t="s">
        <v>565</v>
      </c>
      <c r="R15" s="40" t="s">
        <v>555</v>
      </c>
      <c r="S15" s="41">
        <v>2</v>
      </c>
      <c r="T15" s="41">
        <v>4</v>
      </c>
      <c r="U15" s="42">
        <v>1284</v>
      </c>
      <c r="V15" s="41">
        <v>139.15</v>
      </c>
      <c r="W15" s="43">
        <v>10</v>
      </c>
      <c r="Y15" s="173" t="s">
        <v>566</v>
      </c>
      <c r="AD15" s="3"/>
    </row>
    <row r="16" spans="1:30">
      <c r="A16" s="45" t="s">
        <v>567</v>
      </c>
      <c r="B16" s="44" t="s">
        <v>492</v>
      </c>
      <c r="C16" s="9">
        <v>4</v>
      </c>
      <c r="D16" s="44" t="s">
        <v>511</v>
      </c>
      <c r="E16" s="46">
        <v>14515</v>
      </c>
      <c r="F16" s="46">
        <v>3720</v>
      </c>
      <c r="G16" s="47">
        <v>17160</v>
      </c>
      <c r="H16" s="46"/>
      <c r="I16" s="5" t="s">
        <v>568</v>
      </c>
      <c r="J16" s="169" t="s">
        <v>535</v>
      </c>
      <c r="K16" s="38">
        <v>2</v>
      </c>
      <c r="L16" s="162" t="s">
        <v>477</v>
      </c>
      <c r="M16" s="59" t="str">
        <f t="shared" si="0"/>
        <v>Ducky2Harvey</v>
      </c>
      <c r="N16" s="39" t="s">
        <v>569</v>
      </c>
      <c r="P16" s="148" t="s">
        <v>546</v>
      </c>
      <c r="R16" s="40" t="s">
        <v>570</v>
      </c>
      <c r="S16" s="41">
        <v>3</v>
      </c>
      <c r="T16" s="41">
        <v>2</v>
      </c>
      <c r="U16" s="42">
        <v>1477</v>
      </c>
      <c r="V16" s="41">
        <v>137.41999999999999</v>
      </c>
      <c r="W16" s="43">
        <v>40</v>
      </c>
      <c r="Y16" s="173" t="s">
        <v>571</v>
      </c>
      <c r="AD16" s="3"/>
    </row>
    <row r="17" spans="1:46">
      <c r="A17" s="45" t="s">
        <v>572</v>
      </c>
      <c r="B17" s="44" t="s">
        <v>492</v>
      </c>
      <c r="C17" s="9">
        <v>4</v>
      </c>
      <c r="D17" s="44" t="s">
        <v>511</v>
      </c>
      <c r="E17" s="46">
        <v>14515</v>
      </c>
      <c r="F17" s="46">
        <v>3720</v>
      </c>
      <c r="G17" s="47">
        <v>17160</v>
      </c>
      <c r="H17" s="46"/>
      <c r="I17" s="5" t="s">
        <v>573</v>
      </c>
      <c r="J17" s="169" t="s">
        <v>542</v>
      </c>
      <c r="K17" s="38">
        <v>2</v>
      </c>
      <c r="L17" s="162" t="s">
        <v>477</v>
      </c>
      <c r="M17" s="59" t="str">
        <f t="shared" si="0"/>
        <v>JW_Turner2Harvey</v>
      </c>
      <c r="N17" s="39" t="s">
        <v>574</v>
      </c>
      <c r="P17" s="148" t="s">
        <v>575</v>
      </c>
      <c r="R17" s="40" t="s">
        <v>570</v>
      </c>
      <c r="S17" s="41">
        <v>3</v>
      </c>
      <c r="T17" s="41">
        <v>3</v>
      </c>
      <c r="U17" s="42">
        <v>1477</v>
      </c>
      <c r="V17" s="41">
        <v>139.79</v>
      </c>
      <c r="W17" s="43">
        <v>40</v>
      </c>
      <c r="Y17" s="173" t="s">
        <v>576</v>
      </c>
      <c r="AD17" s="3"/>
    </row>
    <row r="18" spans="1:46">
      <c r="A18" s="45" t="s">
        <v>577</v>
      </c>
      <c r="B18" s="44" t="s">
        <v>504</v>
      </c>
      <c r="C18" s="9">
        <v>2</v>
      </c>
      <c r="D18" s="44" t="s">
        <v>505</v>
      </c>
      <c r="E18" s="46">
        <v>16421</v>
      </c>
      <c r="F18" s="46">
        <v>1625</v>
      </c>
      <c r="G18" s="47">
        <v>17521</v>
      </c>
      <c r="H18" s="46"/>
      <c r="I18" s="5" t="s">
        <v>578</v>
      </c>
      <c r="J18" s="169" t="s">
        <v>542</v>
      </c>
      <c r="K18" s="38">
        <v>3</v>
      </c>
      <c r="L18" s="162" t="s">
        <v>477</v>
      </c>
      <c r="M18" s="59" t="str">
        <f t="shared" si="0"/>
        <v>JW_Turner3Harvey</v>
      </c>
      <c r="N18" s="39" t="s">
        <v>579</v>
      </c>
      <c r="P18" s="148" t="s">
        <v>558</v>
      </c>
      <c r="R18" s="40" t="s">
        <v>570</v>
      </c>
      <c r="S18" s="41">
        <v>3</v>
      </c>
      <c r="T18" s="41">
        <v>4</v>
      </c>
      <c r="U18" s="42">
        <v>1477</v>
      </c>
      <c r="V18" s="41">
        <v>137.97</v>
      </c>
      <c r="W18" s="43">
        <v>40</v>
      </c>
      <c r="Y18" s="173" t="s">
        <v>580</v>
      </c>
      <c r="AD18" s="3"/>
    </row>
    <row r="19" spans="1:46">
      <c r="A19" s="12" t="s">
        <v>581</v>
      </c>
      <c r="B19" s="9" t="s">
        <v>520</v>
      </c>
      <c r="C19" s="9">
        <v>2</v>
      </c>
      <c r="D19" s="9" t="s">
        <v>521</v>
      </c>
      <c r="E19" s="10">
        <v>9686.61</v>
      </c>
      <c r="F19" s="10">
        <v>1200</v>
      </c>
      <c r="G19" s="13">
        <v>10536.61</v>
      </c>
      <c r="H19" s="10"/>
      <c r="I19" s="5" t="s">
        <v>582</v>
      </c>
      <c r="J19" s="169" t="s">
        <v>542</v>
      </c>
      <c r="K19" s="38">
        <v>4</v>
      </c>
      <c r="L19" s="162" t="s">
        <v>477</v>
      </c>
      <c r="M19" s="59" t="str">
        <f t="shared" si="0"/>
        <v>JW_Turner4Harvey</v>
      </c>
      <c r="N19" s="39" t="s">
        <v>583</v>
      </c>
      <c r="O19" s="44"/>
      <c r="P19" s="149" t="s">
        <v>584</v>
      </c>
      <c r="R19" s="40" t="s">
        <v>585</v>
      </c>
      <c r="S19" s="41">
        <v>6</v>
      </c>
      <c r="T19" s="41">
        <v>2</v>
      </c>
      <c r="U19" s="42">
        <v>1842</v>
      </c>
      <c r="V19" s="41">
        <v>135.41</v>
      </c>
      <c r="W19" s="43">
        <v>20</v>
      </c>
      <c r="Y19" s="173" t="s">
        <v>586</v>
      </c>
      <c r="AD19" s="3"/>
    </row>
    <row r="20" spans="1:46">
      <c r="A20" s="45" t="s">
        <v>587</v>
      </c>
      <c r="B20" s="44" t="s">
        <v>492</v>
      </c>
      <c r="C20" s="9">
        <v>4</v>
      </c>
      <c r="D20" s="44" t="s">
        <v>511</v>
      </c>
      <c r="E20" s="46">
        <v>14515</v>
      </c>
      <c r="F20" s="46">
        <v>3720</v>
      </c>
      <c r="G20" s="47">
        <v>17160</v>
      </c>
      <c r="H20" s="46"/>
      <c r="J20" s="169" t="s">
        <v>546</v>
      </c>
      <c r="K20" s="38">
        <v>2</v>
      </c>
      <c r="L20" s="162" t="s">
        <v>477</v>
      </c>
      <c r="M20" s="59" t="str">
        <f t="shared" si="0"/>
        <v>Lemoine2Harvey</v>
      </c>
      <c r="N20" s="39" t="s">
        <v>588</v>
      </c>
      <c r="O20" s="44"/>
      <c r="P20" s="149" t="s">
        <v>568</v>
      </c>
      <c r="R20" s="40" t="s">
        <v>585</v>
      </c>
      <c r="S20" s="41">
        <v>6</v>
      </c>
      <c r="T20" s="41">
        <v>3</v>
      </c>
      <c r="U20" s="42">
        <v>1842</v>
      </c>
      <c r="V20" s="157">
        <v>138.6</v>
      </c>
      <c r="W20" s="43">
        <v>20</v>
      </c>
      <c r="Y20" s="173" t="s">
        <v>589</v>
      </c>
      <c r="AD20" s="3"/>
    </row>
    <row r="21" spans="1:46">
      <c r="A21" s="45" t="s">
        <v>590</v>
      </c>
      <c r="B21" s="44" t="s">
        <v>492</v>
      </c>
      <c r="C21" s="9">
        <v>4</v>
      </c>
      <c r="D21" s="44" t="s">
        <v>511</v>
      </c>
      <c r="E21" s="46">
        <v>14515</v>
      </c>
      <c r="F21" s="46">
        <v>3720</v>
      </c>
      <c r="G21" s="47">
        <v>17160</v>
      </c>
      <c r="H21" s="46"/>
      <c r="J21" s="169" t="s">
        <v>552</v>
      </c>
      <c r="K21" s="38">
        <v>2</v>
      </c>
      <c r="L21" s="162" t="s">
        <v>477</v>
      </c>
      <c r="M21" s="59" t="str">
        <f t="shared" si="0"/>
        <v>RM_Quality2Harvey</v>
      </c>
      <c r="N21" s="39" t="s">
        <v>591</v>
      </c>
      <c r="O21" s="44"/>
      <c r="P21" s="149" t="s">
        <v>573</v>
      </c>
      <c r="R21" s="40" t="s">
        <v>585</v>
      </c>
      <c r="S21" s="41">
        <v>6</v>
      </c>
      <c r="T21" s="41">
        <v>4</v>
      </c>
      <c r="U21" s="42">
        <v>1842</v>
      </c>
      <c r="V21" s="41">
        <v>135.63</v>
      </c>
      <c r="W21" s="43">
        <v>20</v>
      </c>
      <c r="Y21" s="173" t="s">
        <v>592</v>
      </c>
      <c r="AD21" s="3"/>
    </row>
    <row r="22" spans="1:46">
      <c r="A22" s="45" t="s">
        <v>593</v>
      </c>
      <c r="B22" s="44" t="s">
        <v>492</v>
      </c>
      <c r="C22" s="9">
        <v>2</v>
      </c>
      <c r="D22" s="44" t="s">
        <v>511</v>
      </c>
      <c r="E22" s="46">
        <v>14515</v>
      </c>
      <c r="F22" s="46">
        <v>3720</v>
      </c>
      <c r="G22" s="47">
        <v>17160</v>
      </c>
      <c r="H22" s="46"/>
      <c r="J22" s="169" t="s">
        <v>552</v>
      </c>
      <c r="K22" s="38">
        <v>3</v>
      </c>
      <c r="L22" s="162" t="s">
        <v>477</v>
      </c>
      <c r="M22" s="59" t="str">
        <f t="shared" si="0"/>
        <v>RM_Quality3Harvey</v>
      </c>
      <c r="N22" s="39" t="s">
        <v>594</v>
      </c>
      <c r="O22" s="44"/>
      <c r="P22" s="149" t="s">
        <v>578</v>
      </c>
      <c r="R22" s="40" t="s">
        <v>595</v>
      </c>
      <c r="S22" s="41">
        <v>3</v>
      </c>
      <c r="T22" s="41">
        <v>2</v>
      </c>
      <c r="U22" s="42">
        <v>1396</v>
      </c>
      <c r="V22" s="41">
        <v>137.41999999999999</v>
      </c>
      <c r="W22" s="43">
        <v>30</v>
      </c>
      <c r="Y22" s="173" t="s">
        <v>596</v>
      </c>
      <c r="AD22" s="3"/>
    </row>
    <row r="23" spans="1:46">
      <c r="A23" s="45" t="s">
        <v>597</v>
      </c>
      <c r="B23" s="44" t="s">
        <v>492</v>
      </c>
      <c r="C23" s="9">
        <v>4</v>
      </c>
      <c r="D23" s="44" t="s">
        <v>511</v>
      </c>
      <c r="E23" s="46">
        <v>14515</v>
      </c>
      <c r="F23" s="46">
        <v>3720</v>
      </c>
      <c r="G23" s="47">
        <v>17160</v>
      </c>
      <c r="H23" s="46"/>
      <c r="J23" s="169" t="s">
        <v>558</v>
      </c>
      <c r="K23" s="38">
        <v>2</v>
      </c>
      <c r="L23" s="162" t="s">
        <v>477</v>
      </c>
      <c r="M23" s="59" t="str">
        <f t="shared" si="0"/>
        <v>Stonewater2Harvey</v>
      </c>
      <c r="N23" s="39" t="s">
        <v>598</v>
      </c>
      <c r="O23" s="44"/>
      <c r="P23" s="8" t="s">
        <v>582</v>
      </c>
      <c r="R23" s="40" t="s">
        <v>595</v>
      </c>
      <c r="S23" s="41">
        <v>3</v>
      </c>
      <c r="T23" s="41">
        <v>3</v>
      </c>
      <c r="U23" s="42">
        <v>1396</v>
      </c>
      <c r="V23" s="41">
        <v>139.79</v>
      </c>
      <c r="W23" s="43">
        <v>30</v>
      </c>
      <c r="Y23" s="173" t="s">
        <v>599</v>
      </c>
      <c r="AD23" s="3"/>
    </row>
    <row r="24" spans="1:46">
      <c r="A24" s="12" t="s">
        <v>600</v>
      </c>
      <c r="B24" s="9" t="s">
        <v>504</v>
      </c>
      <c r="C24" s="9">
        <v>2</v>
      </c>
      <c r="D24" s="9" t="s">
        <v>601</v>
      </c>
      <c r="E24" s="10">
        <v>16475</v>
      </c>
      <c r="F24" s="10">
        <v>1625</v>
      </c>
      <c r="G24" s="13">
        <v>17575</v>
      </c>
      <c r="H24" s="10"/>
      <c r="J24" s="169" t="s">
        <v>558</v>
      </c>
      <c r="K24" s="38">
        <v>3</v>
      </c>
      <c r="L24" s="162" t="s">
        <v>477</v>
      </c>
      <c r="M24" s="59" t="str">
        <f t="shared" si="0"/>
        <v>Stonewater3Harvey</v>
      </c>
      <c r="N24" s="39" t="s">
        <v>602</v>
      </c>
      <c r="O24" s="44"/>
      <c r="P24" s="145"/>
      <c r="R24" s="40" t="s">
        <v>595</v>
      </c>
      <c r="S24" s="41">
        <v>3</v>
      </c>
      <c r="T24" s="41">
        <v>4</v>
      </c>
      <c r="U24" s="42">
        <v>1396</v>
      </c>
      <c r="V24" s="41">
        <v>137.97</v>
      </c>
      <c r="W24" s="43">
        <v>30</v>
      </c>
      <c r="Y24" s="173" t="s">
        <v>603</v>
      </c>
      <c r="AD24" s="3"/>
    </row>
    <row r="25" spans="1:46">
      <c r="A25" s="12" t="s">
        <v>604</v>
      </c>
      <c r="B25" s="9" t="s">
        <v>504</v>
      </c>
      <c r="C25" s="9">
        <v>2</v>
      </c>
      <c r="D25" s="9" t="s">
        <v>551</v>
      </c>
      <c r="E25" s="10">
        <v>15445</v>
      </c>
      <c r="F25" s="10">
        <v>1625</v>
      </c>
      <c r="G25" s="13">
        <v>16545</v>
      </c>
      <c r="H25" s="10"/>
      <c r="J25" s="169" t="s">
        <v>558</v>
      </c>
      <c r="K25" s="154">
        <v>4</v>
      </c>
      <c r="L25" s="5" t="s">
        <v>477</v>
      </c>
      <c r="M25" s="59" t="str">
        <f t="shared" si="0"/>
        <v>Stonewater4Harvey</v>
      </c>
      <c r="N25" s="57" t="s">
        <v>605</v>
      </c>
      <c r="P25"/>
      <c r="R25" s="40" t="s">
        <v>606</v>
      </c>
      <c r="S25" s="41">
        <v>5</v>
      </c>
      <c r="T25" s="41">
        <v>2</v>
      </c>
      <c r="U25" s="42">
        <v>1703</v>
      </c>
      <c r="V25" s="41">
        <v>135.41</v>
      </c>
      <c r="W25" s="43">
        <v>40</v>
      </c>
      <c r="Y25" s="173" t="s">
        <v>607</v>
      </c>
      <c r="AD25" s="3"/>
    </row>
    <row r="26" spans="1:46">
      <c r="A26" s="12" t="s">
        <v>608</v>
      </c>
      <c r="B26" s="9" t="s">
        <v>504</v>
      </c>
      <c r="C26" s="9">
        <v>2</v>
      </c>
      <c r="D26" s="9" t="s">
        <v>551</v>
      </c>
      <c r="E26" s="10">
        <v>15445</v>
      </c>
      <c r="F26" s="10">
        <v>1625</v>
      </c>
      <c r="G26" s="13">
        <v>16545</v>
      </c>
      <c r="H26" s="10"/>
      <c r="J26" s="169" t="s">
        <v>563</v>
      </c>
      <c r="K26" s="154">
        <v>2</v>
      </c>
      <c r="L26" s="5" t="s">
        <v>477</v>
      </c>
      <c r="M26" s="59" t="str">
        <f t="shared" si="0"/>
        <v>Sullivan_SLSCO2Harvey</v>
      </c>
      <c r="N26" s="57" t="s">
        <v>609</v>
      </c>
      <c r="O26" s="44"/>
      <c r="P26"/>
      <c r="R26" s="40" t="s">
        <v>606</v>
      </c>
      <c r="S26" s="41">
        <v>5</v>
      </c>
      <c r="T26" s="41">
        <v>3</v>
      </c>
      <c r="U26" s="42">
        <v>1703</v>
      </c>
      <c r="V26" s="157">
        <v>138.6</v>
      </c>
      <c r="W26" s="43">
        <v>40</v>
      </c>
      <c r="Y26" s="173" t="s">
        <v>610</v>
      </c>
      <c r="AD26" s="3"/>
    </row>
    <row r="27" spans="1:46">
      <c r="A27" s="12" t="s">
        <v>611</v>
      </c>
      <c r="B27" s="9" t="s">
        <v>492</v>
      </c>
      <c r="C27" s="9">
        <v>3</v>
      </c>
      <c r="D27" s="9" t="s">
        <v>541</v>
      </c>
      <c r="E27" s="10">
        <v>15100</v>
      </c>
      <c r="F27" s="10">
        <v>3900</v>
      </c>
      <c r="G27" s="13">
        <v>18100</v>
      </c>
      <c r="H27" s="10"/>
      <c r="J27" s="169" t="s">
        <v>568</v>
      </c>
      <c r="K27" s="154">
        <v>2</v>
      </c>
      <c r="L27" s="5" t="s">
        <v>477</v>
      </c>
      <c r="M27" s="59" t="str">
        <f t="shared" si="0"/>
        <v>Tegrity2Harvey</v>
      </c>
      <c r="N27" s="57" t="s">
        <v>612</v>
      </c>
      <c r="O27" s="44"/>
      <c r="P27"/>
      <c r="R27" s="40" t="s">
        <v>606</v>
      </c>
      <c r="S27" s="41">
        <v>5</v>
      </c>
      <c r="T27" s="41">
        <v>4</v>
      </c>
      <c r="U27" s="42">
        <v>1703</v>
      </c>
      <c r="V27" s="41">
        <v>135.63</v>
      </c>
      <c r="W27" s="43">
        <v>40</v>
      </c>
      <c r="Y27" s="173" t="s">
        <v>613</v>
      </c>
      <c r="AD27" s="3"/>
    </row>
    <row r="28" spans="1:46">
      <c r="A28" s="45" t="s">
        <v>614</v>
      </c>
      <c r="B28" s="44" t="s">
        <v>492</v>
      </c>
      <c r="C28" s="9">
        <v>4</v>
      </c>
      <c r="D28" s="44" t="s">
        <v>511</v>
      </c>
      <c r="E28" s="46">
        <v>14515</v>
      </c>
      <c r="F28" s="46">
        <v>3720</v>
      </c>
      <c r="G28" s="47">
        <v>17160</v>
      </c>
      <c r="H28" s="46"/>
      <c r="J28" s="169" t="s">
        <v>568</v>
      </c>
      <c r="K28" s="154">
        <v>4</v>
      </c>
      <c r="L28" s="5" t="s">
        <v>477</v>
      </c>
      <c r="M28" s="59" t="str">
        <f t="shared" si="0"/>
        <v>Tegrity4Harvey</v>
      </c>
      <c r="N28" s="57" t="s">
        <v>615</v>
      </c>
      <c r="O28" s="44"/>
      <c r="P28"/>
      <c r="R28" s="40" t="s">
        <v>616</v>
      </c>
      <c r="S28" s="41">
        <v>2</v>
      </c>
      <c r="T28" s="41">
        <v>2</v>
      </c>
      <c r="U28" s="42">
        <v>1144</v>
      </c>
      <c r="V28" s="41">
        <v>139.69</v>
      </c>
      <c r="W28" s="43">
        <v>10</v>
      </c>
      <c r="Y28" s="173" t="s">
        <v>617</v>
      </c>
      <c r="AD28" s="3"/>
    </row>
    <row r="29" spans="1:46">
      <c r="A29" s="12" t="s">
        <v>618</v>
      </c>
      <c r="B29" s="9" t="s">
        <v>520</v>
      </c>
      <c r="C29" s="9">
        <v>2</v>
      </c>
      <c r="D29" s="9" t="s">
        <v>619</v>
      </c>
      <c r="E29" s="10">
        <v>9686.61</v>
      </c>
      <c r="F29" s="10">
        <v>1200</v>
      </c>
      <c r="G29" s="13">
        <v>10536.61</v>
      </c>
      <c r="H29" s="10"/>
      <c r="J29" s="169" t="s">
        <v>573</v>
      </c>
      <c r="K29" s="154">
        <v>2</v>
      </c>
      <c r="L29" s="5" t="s">
        <v>477</v>
      </c>
      <c r="M29" s="59" t="str">
        <f t="shared" si="0"/>
        <v>Thompson2Harvey</v>
      </c>
      <c r="N29" s="57" t="s">
        <v>620</v>
      </c>
      <c r="O29" s="44"/>
      <c r="P29"/>
      <c r="R29" s="40" t="s">
        <v>616</v>
      </c>
      <c r="S29" s="41">
        <v>2</v>
      </c>
      <c r="T29" s="41">
        <v>3</v>
      </c>
      <c r="U29" s="42">
        <v>1144</v>
      </c>
      <c r="V29" s="41">
        <v>140.16999999999999</v>
      </c>
      <c r="W29" s="43">
        <v>10</v>
      </c>
      <c r="Y29" s="173" t="s">
        <v>621</v>
      </c>
      <c r="AD29" s="3"/>
    </row>
    <row r="30" spans="1:46">
      <c r="A30" s="45" t="s">
        <v>622</v>
      </c>
      <c r="B30" s="44" t="s">
        <v>504</v>
      </c>
      <c r="C30" s="9">
        <v>2</v>
      </c>
      <c r="D30" s="44" t="s">
        <v>601</v>
      </c>
      <c r="E30" s="46">
        <v>16475</v>
      </c>
      <c r="F30" s="46">
        <v>1625</v>
      </c>
      <c r="G30" s="47">
        <v>17575</v>
      </c>
      <c r="H30" s="46"/>
      <c r="J30" s="169" t="s">
        <v>578</v>
      </c>
      <c r="K30" s="154">
        <v>2</v>
      </c>
      <c r="L30" s="5" t="s">
        <v>477</v>
      </c>
      <c r="M30" s="59" t="str">
        <f t="shared" si="0"/>
        <v>TKTMJ2Harvey</v>
      </c>
      <c r="N30" s="57" t="s">
        <v>623</v>
      </c>
      <c r="P30"/>
      <c r="R30" s="40" t="s">
        <v>616</v>
      </c>
      <c r="S30" s="41">
        <v>2</v>
      </c>
      <c r="T30" s="41">
        <v>4</v>
      </c>
      <c r="U30" s="42">
        <v>1144</v>
      </c>
      <c r="V30" s="41">
        <v>139.15</v>
      </c>
      <c r="W30" s="43">
        <v>10</v>
      </c>
      <c r="Y30" s="173" t="s">
        <v>624</v>
      </c>
      <c r="AD30" s="3"/>
    </row>
    <row r="31" spans="1:46" ht="13.5" customHeight="1">
      <c r="A31" s="45" t="s">
        <v>625</v>
      </c>
      <c r="B31" s="9" t="s">
        <v>504</v>
      </c>
      <c r="C31" s="9">
        <v>2</v>
      </c>
      <c r="D31" s="9" t="s">
        <v>551</v>
      </c>
      <c r="E31" s="10">
        <v>15445</v>
      </c>
      <c r="F31" s="10">
        <v>1625</v>
      </c>
      <c r="G31" s="13">
        <v>16545</v>
      </c>
      <c r="H31" s="10"/>
      <c r="J31" s="169" t="s">
        <v>578</v>
      </c>
      <c r="K31" s="154">
        <v>3</v>
      </c>
      <c r="L31" s="5" t="s">
        <v>477</v>
      </c>
      <c r="M31" s="59" t="str">
        <f t="shared" si="0"/>
        <v>TKTMJ3Harvey</v>
      </c>
      <c r="N31" s="57" t="s">
        <v>626</v>
      </c>
      <c r="P31"/>
      <c r="R31" s="40" t="s">
        <v>627</v>
      </c>
      <c r="S31" s="41">
        <v>4</v>
      </c>
      <c r="T31" s="41">
        <v>2</v>
      </c>
      <c r="U31" s="42">
        <v>1545</v>
      </c>
      <c r="V31" s="41">
        <v>135.41</v>
      </c>
      <c r="W31" s="43">
        <v>10</v>
      </c>
      <c r="Y31" s="173" t="s">
        <v>628</v>
      </c>
      <c r="AD31" s="3"/>
      <c r="AM31" s="52"/>
      <c r="AN31" s="52"/>
      <c r="AO31" s="52"/>
      <c r="AP31" s="52"/>
      <c r="AQ31" s="52"/>
      <c r="AR31" s="52"/>
      <c r="AS31" s="5"/>
      <c r="AT31" s="44"/>
    </row>
    <row r="32" spans="1:46" ht="13.5" customHeight="1">
      <c r="A32" s="45" t="s">
        <v>629</v>
      </c>
      <c r="B32" s="44" t="s">
        <v>492</v>
      </c>
      <c r="C32" s="9">
        <v>3</v>
      </c>
      <c r="D32" s="44" t="s">
        <v>493</v>
      </c>
      <c r="E32" s="46">
        <v>13600</v>
      </c>
      <c r="F32" s="46">
        <v>3600</v>
      </c>
      <c r="G32" s="47">
        <v>16245</v>
      </c>
      <c r="H32" s="46"/>
      <c r="J32" s="169" t="s">
        <v>578</v>
      </c>
      <c r="K32" s="154">
        <v>4</v>
      </c>
      <c r="L32" s="5" t="s">
        <v>477</v>
      </c>
      <c r="M32" s="59" t="str">
        <f t="shared" si="0"/>
        <v>TKTMJ4Harvey</v>
      </c>
      <c r="N32" s="57" t="s">
        <v>630</v>
      </c>
      <c r="P32"/>
      <c r="R32" s="40" t="s">
        <v>627</v>
      </c>
      <c r="S32" s="41">
        <v>4</v>
      </c>
      <c r="T32" s="41">
        <v>3</v>
      </c>
      <c r="U32" s="42">
        <v>1545</v>
      </c>
      <c r="V32" s="157">
        <v>138.6</v>
      </c>
      <c r="W32" s="43">
        <v>10</v>
      </c>
      <c r="Y32" s="173" t="s">
        <v>631</v>
      </c>
      <c r="AD32" s="3"/>
    </row>
    <row r="33" spans="1:30" ht="13.5" customHeight="1">
      <c r="A33" s="45" t="s">
        <v>632</v>
      </c>
      <c r="B33" s="44" t="s">
        <v>492</v>
      </c>
      <c r="C33" s="9">
        <v>3</v>
      </c>
      <c r="D33" s="9" t="s">
        <v>541</v>
      </c>
      <c r="E33" s="10">
        <v>15100</v>
      </c>
      <c r="F33" s="10">
        <v>3900</v>
      </c>
      <c r="G33" s="13">
        <v>18100</v>
      </c>
      <c r="H33" s="10"/>
      <c r="J33" s="170" t="s">
        <v>582</v>
      </c>
      <c r="K33" s="155">
        <v>2</v>
      </c>
      <c r="L33" s="163" t="s">
        <v>477</v>
      </c>
      <c r="M33" s="61" t="str">
        <f t="shared" si="0"/>
        <v>Yates2Harvey</v>
      </c>
      <c r="N33" s="58" t="s">
        <v>633</v>
      </c>
      <c r="P33"/>
      <c r="R33" s="40" t="s">
        <v>627</v>
      </c>
      <c r="S33" s="41">
        <v>4</v>
      </c>
      <c r="T33" s="41">
        <v>4</v>
      </c>
      <c r="U33" s="42">
        <v>1545</v>
      </c>
      <c r="V33" s="41">
        <v>135.63</v>
      </c>
      <c r="W33" s="43">
        <v>10</v>
      </c>
      <c r="Y33" s="173" t="s">
        <v>634</v>
      </c>
      <c r="AD33" s="3"/>
    </row>
    <row r="34" spans="1:30" ht="13.5" customHeight="1">
      <c r="A34" s="45" t="s">
        <v>635</v>
      </c>
      <c r="B34" s="44" t="s">
        <v>492</v>
      </c>
      <c r="C34" s="9">
        <v>4</v>
      </c>
      <c r="D34" s="44" t="s">
        <v>511</v>
      </c>
      <c r="E34" s="46">
        <v>14515</v>
      </c>
      <c r="F34" s="46">
        <v>3720</v>
      </c>
      <c r="G34" s="47">
        <v>17160</v>
      </c>
      <c r="H34" s="46"/>
      <c r="K34" s="154"/>
      <c r="M34" s="59"/>
      <c r="O34" s="143"/>
      <c r="P34"/>
      <c r="R34" s="40" t="s">
        <v>636</v>
      </c>
      <c r="S34" s="41">
        <v>3</v>
      </c>
      <c r="T34" s="41">
        <v>2</v>
      </c>
      <c r="U34" s="42">
        <v>1400</v>
      </c>
      <c r="V34" s="41">
        <v>137.41999999999999</v>
      </c>
      <c r="W34" s="43">
        <v>30</v>
      </c>
      <c r="Y34" s="173" t="s">
        <v>637</v>
      </c>
      <c r="AD34" s="3"/>
    </row>
    <row r="35" spans="1:30" ht="13.5" customHeight="1">
      <c r="A35" s="45" t="s">
        <v>638</v>
      </c>
      <c r="B35" s="44" t="s">
        <v>492</v>
      </c>
      <c r="C35" s="9">
        <v>3</v>
      </c>
      <c r="D35" s="44" t="s">
        <v>493</v>
      </c>
      <c r="E35" s="46">
        <v>13600</v>
      </c>
      <c r="F35" s="46">
        <v>3600</v>
      </c>
      <c r="G35" s="47">
        <v>16245</v>
      </c>
      <c r="H35" s="46"/>
      <c r="K35" s="154"/>
      <c r="L35" s="5" t="s">
        <v>639</v>
      </c>
      <c r="M35" s="59"/>
      <c r="O35" s="143"/>
      <c r="P35"/>
      <c r="R35" s="40" t="s">
        <v>636</v>
      </c>
      <c r="S35" s="41">
        <v>3</v>
      </c>
      <c r="T35" s="41">
        <v>3</v>
      </c>
      <c r="U35" s="42">
        <v>1400</v>
      </c>
      <c r="V35" s="41">
        <v>139.79</v>
      </c>
      <c r="W35" s="43">
        <v>30</v>
      </c>
      <c r="Y35" s="173" t="s">
        <v>640</v>
      </c>
      <c r="AD35" s="164"/>
    </row>
    <row r="36" spans="1:30">
      <c r="A36" s="45" t="s">
        <v>641</v>
      </c>
      <c r="B36" s="44" t="s">
        <v>492</v>
      </c>
      <c r="C36" s="9">
        <v>4</v>
      </c>
      <c r="D36" s="44" t="s">
        <v>511</v>
      </c>
      <c r="E36" s="46">
        <v>14515</v>
      </c>
      <c r="F36" s="46">
        <v>3720</v>
      </c>
      <c r="G36" s="47">
        <v>17160</v>
      </c>
      <c r="H36" s="46"/>
      <c r="J36" s="432" t="s">
        <v>488</v>
      </c>
      <c r="K36" s="433"/>
      <c r="L36" s="433"/>
      <c r="M36" s="433"/>
      <c r="N36" s="434"/>
      <c r="O36" s="143"/>
      <c r="P36"/>
      <c r="R36" s="40" t="s">
        <v>636</v>
      </c>
      <c r="S36" s="41">
        <v>3</v>
      </c>
      <c r="T36" s="41">
        <v>4</v>
      </c>
      <c r="U36" s="42">
        <v>1400</v>
      </c>
      <c r="V36" s="41">
        <v>137.97</v>
      </c>
      <c r="W36" s="43">
        <v>30</v>
      </c>
      <c r="Y36" s="173" t="s">
        <v>642</v>
      </c>
      <c r="Z36" s="5"/>
    </row>
    <row r="37" spans="1:30">
      <c r="A37" s="45" t="s">
        <v>643</v>
      </c>
      <c r="B37" s="44" t="s">
        <v>492</v>
      </c>
      <c r="C37" s="9">
        <v>4</v>
      </c>
      <c r="D37" s="44" t="s">
        <v>511</v>
      </c>
      <c r="E37" s="46">
        <v>14515</v>
      </c>
      <c r="F37" s="46">
        <v>3720</v>
      </c>
      <c r="G37" s="47">
        <v>17160</v>
      </c>
      <c r="H37" s="46"/>
      <c r="I37" s="6" t="s">
        <v>494</v>
      </c>
      <c r="K37" s="6" t="s">
        <v>483</v>
      </c>
      <c r="L37" s="6" t="s">
        <v>495</v>
      </c>
      <c r="M37" s="6" t="s">
        <v>496</v>
      </c>
      <c r="N37" s="37" t="s">
        <v>484</v>
      </c>
      <c r="O37" s="143"/>
      <c r="P37"/>
      <c r="R37" s="40" t="s">
        <v>644</v>
      </c>
      <c r="S37" s="41">
        <v>2</v>
      </c>
      <c r="T37" s="41">
        <v>2</v>
      </c>
      <c r="U37" s="42">
        <v>1143</v>
      </c>
      <c r="V37" s="41">
        <v>139.69</v>
      </c>
      <c r="W37" s="43">
        <v>10</v>
      </c>
      <c r="Y37" s="173" t="s">
        <v>645</v>
      </c>
      <c r="Z37" s="5"/>
    </row>
    <row r="38" spans="1:30">
      <c r="A38" s="12" t="s">
        <v>646</v>
      </c>
      <c r="B38" s="9" t="s">
        <v>520</v>
      </c>
      <c r="C38" s="9">
        <v>2</v>
      </c>
      <c r="D38" s="9" t="s">
        <v>521</v>
      </c>
      <c r="E38" s="10">
        <v>9686.61</v>
      </c>
      <c r="F38" s="10">
        <v>1200</v>
      </c>
      <c r="G38" s="13">
        <v>10536.61</v>
      </c>
      <c r="H38" s="10"/>
      <c r="I38" s="165" t="s">
        <v>507</v>
      </c>
      <c r="J38" s="5" t="s">
        <v>507</v>
      </c>
      <c r="K38" s="153">
        <v>2</v>
      </c>
      <c r="L38" s="18" t="s">
        <v>639</v>
      </c>
      <c r="M38" s="59" t="str">
        <f>_xlfn.CONCAT(J38,K38,L38)</f>
        <v>Brizo2Mitigation</v>
      </c>
      <c r="N38" s="151" t="s">
        <v>647</v>
      </c>
      <c r="O38" s="143"/>
      <c r="P38"/>
      <c r="R38" s="40" t="s">
        <v>644</v>
      </c>
      <c r="S38" s="41">
        <v>2</v>
      </c>
      <c r="T38" s="41">
        <v>3</v>
      </c>
      <c r="U38" s="42">
        <v>1143</v>
      </c>
      <c r="V38" s="41">
        <v>140.16999999999999</v>
      </c>
      <c r="W38" s="43">
        <v>10</v>
      </c>
      <c r="Y38" s="173" t="s">
        <v>648</v>
      </c>
      <c r="Z38" s="5"/>
    </row>
    <row r="39" spans="1:30">
      <c r="A39" s="12" t="s">
        <v>649</v>
      </c>
      <c r="B39" s="9" t="s">
        <v>504</v>
      </c>
      <c r="C39" s="9">
        <v>2</v>
      </c>
      <c r="D39" s="9" t="s">
        <v>551</v>
      </c>
      <c r="E39" s="10">
        <v>15445</v>
      </c>
      <c r="F39" s="10">
        <v>1625</v>
      </c>
      <c r="G39" s="13">
        <v>16545</v>
      </c>
      <c r="H39" s="10"/>
      <c r="I39" s="165" t="s">
        <v>516</v>
      </c>
      <c r="J39" s="5" t="s">
        <v>507</v>
      </c>
      <c r="K39" s="153">
        <v>3</v>
      </c>
      <c r="L39" s="18" t="s">
        <v>639</v>
      </c>
      <c r="M39" s="59" t="str">
        <f t="shared" ref="M39:M58" si="1">_xlfn.CONCAT(J39,K39,L39)</f>
        <v>Brizo3Mitigation</v>
      </c>
      <c r="N39" s="151" t="s">
        <v>650</v>
      </c>
      <c r="O39" s="143"/>
      <c r="P39"/>
      <c r="R39" s="40" t="s">
        <v>644</v>
      </c>
      <c r="S39" s="41">
        <v>2</v>
      </c>
      <c r="T39" s="41">
        <v>4</v>
      </c>
      <c r="U39" s="42">
        <v>1143</v>
      </c>
      <c r="V39" s="41">
        <v>139.15</v>
      </c>
      <c r="W39" s="43">
        <v>10</v>
      </c>
      <c r="Y39" s="173" t="s">
        <v>651</v>
      </c>
      <c r="Z39" s="5"/>
    </row>
    <row r="40" spans="1:30">
      <c r="A40" s="45" t="s">
        <v>652</v>
      </c>
      <c r="B40" s="44" t="s">
        <v>492</v>
      </c>
      <c r="C40" s="9">
        <v>2</v>
      </c>
      <c r="D40" s="44" t="s">
        <v>511</v>
      </c>
      <c r="E40" s="46">
        <v>14515</v>
      </c>
      <c r="F40" s="46">
        <v>3720</v>
      </c>
      <c r="G40" s="47">
        <v>17160</v>
      </c>
      <c r="H40" s="46"/>
      <c r="I40" s="165" t="s">
        <v>527</v>
      </c>
      <c r="J40" s="5" t="s">
        <v>507</v>
      </c>
      <c r="K40" s="153">
        <v>4</v>
      </c>
      <c r="L40" s="18" t="s">
        <v>639</v>
      </c>
      <c r="M40" s="59" t="str">
        <f t="shared" si="1"/>
        <v>Brizo4Mitigation</v>
      </c>
      <c r="N40" s="151" t="s">
        <v>653</v>
      </c>
      <c r="O40" s="143"/>
      <c r="P40"/>
      <c r="R40" s="40" t="s">
        <v>654</v>
      </c>
      <c r="S40" s="41">
        <v>2</v>
      </c>
      <c r="T40" s="41">
        <v>2</v>
      </c>
      <c r="U40" s="42">
        <v>1320</v>
      </c>
      <c r="V40" s="41">
        <v>139.69</v>
      </c>
      <c r="W40" s="43">
        <v>35</v>
      </c>
      <c r="Y40" s="173" t="s">
        <v>655</v>
      </c>
      <c r="Z40" s="5"/>
    </row>
    <row r="41" spans="1:30">
      <c r="A41" s="45" t="s">
        <v>656</v>
      </c>
      <c r="B41" s="44" t="s">
        <v>504</v>
      </c>
      <c r="C41" s="9">
        <v>2</v>
      </c>
      <c r="D41" s="44" t="s">
        <v>505</v>
      </c>
      <c r="E41" s="46">
        <v>16421</v>
      </c>
      <c r="F41" s="46">
        <v>1625</v>
      </c>
      <c r="G41" s="47">
        <v>17521</v>
      </c>
      <c r="H41" s="46"/>
      <c r="I41" s="165" t="s">
        <v>531</v>
      </c>
      <c r="J41" s="5" t="s">
        <v>516</v>
      </c>
      <c r="K41" s="153">
        <v>2</v>
      </c>
      <c r="L41" s="18" t="s">
        <v>639</v>
      </c>
      <c r="M41" s="59" t="str">
        <f t="shared" si="1"/>
        <v>Brydson2Mitigation</v>
      </c>
      <c r="N41" s="151" t="s">
        <v>657</v>
      </c>
      <c r="O41" s="143"/>
      <c r="P41"/>
      <c r="R41" s="40" t="s">
        <v>654</v>
      </c>
      <c r="S41" s="41">
        <v>2</v>
      </c>
      <c r="T41" s="41">
        <v>3</v>
      </c>
      <c r="U41" s="42">
        <v>1320</v>
      </c>
      <c r="V41" s="41">
        <v>140.16999999999999</v>
      </c>
      <c r="W41" s="43">
        <v>35</v>
      </c>
      <c r="Y41" s="173" t="s">
        <v>658</v>
      </c>
      <c r="Z41" s="5"/>
    </row>
    <row r="42" spans="1:30">
      <c r="A42" s="45" t="s">
        <v>659</v>
      </c>
      <c r="B42" s="44" t="s">
        <v>492</v>
      </c>
      <c r="C42" s="9">
        <v>4</v>
      </c>
      <c r="D42" s="44" t="s">
        <v>511</v>
      </c>
      <c r="E42" s="46">
        <v>14515</v>
      </c>
      <c r="F42" s="46">
        <v>3720</v>
      </c>
      <c r="G42" s="47">
        <v>17160</v>
      </c>
      <c r="H42" s="46"/>
      <c r="I42" s="165" t="s">
        <v>535</v>
      </c>
      <c r="J42" s="5" t="s">
        <v>527</v>
      </c>
      <c r="K42" s="153">
        <v>2</v>
      </c>
      <c r="L42" s="18" t="s">
        <v>639</v>
      </c>
      <c r="M42" s="59" t="str">
        <f t="shared" si="1"/>
        <v>DRC2Mitigation</v>
      </c>
      <c r="N42" s="151" t="s">
        <v>660</v>
      </c>
      <c r="O42" s="143"/>
      <c r="P42"/>
      <c r="R42" s="48" t="s">
        <v>654</v>
      </c>
      <c r="S42" s="49">
        <v>2</v>
      </c>
      <c r="T42" s="49">
        <v>4</v>
      </c>
      <c r="U42" s="50">
        <v>1320</v>
      </c>
      <c r="V42" s="49">
        <v>139.15</v>
      </c>
      <c r="W42" s="51">
        <v>35</v>
      </c>
      <c r="Y42" s="173" t="s">
        <v>661</v>
      </c>
      <c r="Z42" s="5"/>
    </row>
    <row r="43" spans="1:30">
      <c r="A43" s="12" t="s">
        <v>662</v>
      </c>
      <c r="B43" s="9" t="s">
        <v>520</v>
      </c>
      <c r="C43" s="9">
        <v>2</v>
      </c>
      <c r="D43" s="9" t="s">
        <v>521</v>
      </c>
      <c r="E43" s="10">
        <v>9686.61</v>
      </c>
      <c r="F43" s="10">
        <v>1200</v>
      </c>
      <c r="G43" s="13">
        <v>10536.61</v>
      </c>
      <c r="H43" s="10"/>
      <c r="I43" s="165" t="s">
        <v>542</v>
      </c>
      <c r="J43" s="5" t="s">
        <v>531</v>
      </c>
      <c r="K43" s="153">
        <v>2</v>
      </c>
      <c r="L43" s="18" t="s">
        <v>639</v>
      </c>
      <c r="M43" s="59" t="str">
        <f t="shared" si="1"/>
        <v>DSW2Mitigation</v>
      </c>
      <c r="N43" s="151" t="s">
        <v>663</v>
      </c>
      <c r="O43" s="143"/>
      <c r="P43"/>
      <c r="Y43" s="173"/>
      <c r="Z43" s="5"/>
    </row>
    <row r="44" spans="1:30">
      <c r="A44" s="12" t="s">
        <v>664</v>
      </c>
      <c r="B44" s="9" t="s">
        <v>504</v>
      </c>
      <c r="C44" s="9">
        <v>2</v>
      </c>
      <c r="D44" s="9" t="s">
        <v>551</v>
      </c>
      <c r="E44" s="10">
        <v>15445</v>
      </c>
      <c r="F44" s="10">
        <v>1625</v>
      </c>
      <c r="G44" s="13">
        <v>16545</v>
      </c>
      <c r="H44" s="10"/>
      <c r="I44" s="165" t="s">
        <v>546</v>
      </c>
      <c r="J44" s="5" t="s">
        <v>531</v>
      </c>
      <c r="K44" s="153">
        <v>3</v>
      </c>
      <c r="L44" s="18" t="s">
        <v>639</v>
      </c>
      <c r="M44" s="59" t="str">
        <f t="shared" si="1"/>
        <v>DSW3Mitigation</v>
      </c>
      <c r="N44" s="151" t="s">
        <v>665</v>
      </c>
      <c r="O44" s="143"/>
      <c r="P44"/>
      <c r="Y44" s="173"/>
      <c r="Z44" s="5"/>
    </row>
    <row r="45" spans="1:30">
      <c r="A45" s="12" t="s">
        <v>666</v>
      </c>
      <c r="B45" s="9" t="s">
        <v>520</v>
      </c>
      <c r="C45" s="9">
        <v>2</v>
      </c>
      <c r="D45" s="9" t="s">
        <v>619</v>
      </c>
      <c r="E45" s="10">
        <v>9686.61</v>
      </c>
      <c r="F45" s="10">
        <v>1200</v>
      </c>
      <c r="G45" s="13">
        <v>10536.61</v>
      </c>
      <c r="H45" s="10"/>
      <c r="I45" s="165" t="s">
        <v>552</v>
      </c>
      <c r="J45" s="5" t="s">
        <v>531</v>
      </c>
      <c r="K45" s="153">
        <v>4</v>
      </c>
      <c r="L45" s="18" t="s">
        <v>639</v>
      </c>
      <c r="M45" s="59" t="str">
        <f t="shared" si="1"/>
        <v>DSW4Mitigation</v>
      </c>
      <c r="N45" s="151" t="s">
        <v>667</v>
      </c>
      <c r="O45" s="143"/>
      <c r="P45"/>
      <c r="Y45" s="173"/>
      <c r="Z45" s="5"/>
    </row>
    <row r="46" spans="1:30">
      <c r="A46" s="45" t="s">
        <v>668</v>
      </c>
      <c r="B46" s="44" t="s">
        <v>492</v>
      </c>
      <c r="C46" s="9">
        <v>3</v>
      </c>
      <c r="D46" s="44" t="s">
        <v>493</v>
      </c>
      <c r="E46" s="46">
        <v>13600</v>
      </c>
      <c r="F46" s="46">
        <v>3600</v>
      </c>
      <c r="G46" s="47">
        <v>16245</v>
      </c>
      <c r="H46" s="46"/>
      <c r="I46" s="165" t="s">
        <v>558</v>
      </c>
      <c r="J46" s="5" t="s">
        <v>535</v>
      </c>
      <c r="K46" s="153">
        <v>2</v>
      </c>
      <c r="L46" s="18" t="s">
        <v>639</v>
      </c>
      <c r="M46" s="59" t="str">
        <f t="shared" si="1"/>
        <v>Ducky2Mitigation</v>
      </c>
      <c r="N46" s="151" t="s">
        <v>669</v>
      </c>
      <c r="O46" s="143"/>
      <c r="P46"/>
      <c r="S46" s="52" t="s">
        <v>670</v>
      </c>
      <c r="Y46" s="173"/>
      <c r="Z46"/>
      <c r="AA46"/>
    </row>
    <row r="47" spans="1:30">
      <c r="A47" s="45" t="s">
        <v>671</v>
      </c>
      <c r="B47" s="44" t="s">
        <v>504</v>
      </c>
      <c r="C47" s="9">
        <v>2</v>
      </c>
      <c r="D47" s="44" t="s">
        <v>601</v>
      </c>
      <c r="E47" s="46">
        <v>16475</v>
      </c>
      <c r="F47" s="46">
        <v>1625</v>
      </c>
      <c r="G47" s="47">
        <v>17575</v>
      </c>
      <c r="H47" s="46"/>
      <c r="I47" s="165" t="s">
        <v>563</v>
      </c>
      <c r="J47" s="5" t="s">
        <v>542</v>
      </c>
      <c r="K47" s="153">
        <v>2</v>
      </c>
      <c r="L47" s="18" t="s">
        <v>639</v>
      </c>
      <c r="M47" s="59" t="str">
        <f t="shared" si="1"/>
        <v>JW_Turner2Mitigation</v>
      </c>
      <c r="N47" s="151" t="s">
        <v>672</v>
      </c>
      <c r="O47" s="143"/>
      <c r="P47"/>
      <c r="R47" s="429" t="s">
        <v>490</v>
      </c>
      <c r="S47" s="430"/>
      <c r="T47" s="430"/>
      <c r="U47" s="430"/>
      <c r="V47" s="430"/>
      <c r="W47" s="431"/>
      <c r="Y47" s="171" t="s">
        <v>478</v>
      </c>
      <c r="Z47"/>
      <c r="AA47"/>
    </row>
    <row r="48" spans="1:30">
      <c r="A48" s="45" t="s">
        <v>673</v>
      </c>
      <c r="B48" s="9" t="s">
        <v>504</v>
      </c>
      <c r="C48" s="9">
        <v>2</v>
      </c>
      <c r="D48" s="9" t="s">
        <v>551</v>
      </c>
      <c r="E48" s="10">
        <v>15445</v>
      </c>
      <c r="F48" s="10">
        <v>1625</v>
      </c>
      <c r="G48" s="13">
        <v>16545</v>
      </c>
      <c r="H48" s="10"/>
      <c r="I48" s="165" t="s">
        <v>568</v>
      </c>
      <c r="J48" s="5" t="s">
        <v>542</v>
      </c>
      <c r="K48" s="153">
        <v>3</v>
      </c>
      <c r="L48" s="18" t="s">
        <v>639</v>
      </c>
      <c r="M48" s="59" t="str">
        <f t="shared" si="1"/>
        <v>JW_Turner3Mitigation</v>
      </c>
      <c r="N48" s="151" t="s">
        <v>674</v>
      </c>
      <c r="O48" s="143"/>
      <c r="P48"/>
      <c r="R48" s="15" t="s">
        <v>497</v>
      </c>
      <c r="S48" s="16" t="s">
        <v>498</v>
      </c>
      <c r="T48" s="16" t="s">
        <v>483</v>
      </c>
      <c r="U48" s="16" t="s">
        <v>499</v>
      </c>
      <c r="V48" s="16" t="s">
        <v>500</v>
      </c>
      <c r="W48" s="17" t="s">
        <v>501</v>
      </c>
      <c r="Y48" s="172" t="s">
        <v>502</v>
      </c>
      <c r="Z48"/>
      <c r="AA48"/>
    </row>
    <row r="49" spans="1:46">
      <c r="A49" s="12" t="s">
        <v>675</v>
      </c>
      <c r="B49" s="9" t="s">
        <v>520</v>
      </c>
      <c r="C49" s="9">
        <v>2</v>
      </c>
      <c r="D49" s="9" t="s">
        <v>619</v>
      </c>
      <c r="E49" s="10">
        <v>9686.61</v>
      </c>
      <c r="F49" s="10">
        <v>1200</v>
      </c>
      <c r="G49" s="13">
        <v>10536.61</v>
      </c>
      <c r="H49" s="10"/>
      <c r="J49" s="5" t="s">
        <v>542</v>
      </c>
      <c r="K49" s="153">
        <v>4</v>
      </c>
      <c r="L49" s="18" t="s">
        <v>639</v>
      </c>
      <c r="M49" s="59" t="str">
        <f t="shared" si="1"/>
        <v>JW_Turner4Mitigation</v>
      </c>
      <c r="N49" s="151" t="s">
        <v>676</v>
      </c>
      <c r="O49" s="143"/>
      <c r="P49"/>
      <c r="R49" s="40" t="s">
        <v>677</v>
      </c>
      <c r="S49" s="41">
        <v>2</v>
      </c>
      <c r="T49" s="41">
        <v>2</v>
      </c>
      <c r="U49" s="42">
        <v>1401</v>
      </c>
      <c r="V49" s="157">
        <v>260.10000000000002</v>
      </c>
      <c r="W49" s="43">
        <v>68</v>
      </c>
      <c r="Y49" s="173" t="s">
        <v>678</v>
      </c>
      <c r="Z49"/>
      <c r="AA49"/>
    </row>
    <row r="50" spans="1:46">
      <c r="A50" s="45" t="s">
        <v>679</v>
      </c>
      <c r="B50" s="44" t="s">
        <v>492</v>
      </c>
      <c r="C50" s="9">
        <v>3</v>
      </c>
      <c r="D50" s="44" t="s">
        <v>493</v>
      </c>
      <c r="E50" s="46">
        <v>13600</v>
      </c>
      <c r="F50" s="46">
        <v>3600</v>
      </c>
      <c r="G50" s="47">
        <v>16245</v>
      </c>
      <c r="H50" s="46"/>
      <c r="J50" s="5" t="s">
        <v>546</v>
      </c>
      <c r="K50" s="153">
        <v>2</v>
      </c>
      <c r="L50" s="18" t="s">
        <v>639</v>
      </c>
      <c r="M50" s="59" t="str">
        <f t="shared" si="1"/>
        <v>Lemoine2Mitigation</v>
      </c>
      <c r="N50" s="151" t="s">
        <v>680</v>
      </c>
      <c r="O50" s="143"/>
      <c r="P50"/>
      <c r="R50" s="40" t="s">
        <v>677</v>
      </c>
      <c r="S50" s="41">
        <v>2</v>
      </c>
      <c r="T50" s="41">
        <v>3</v>
      </c>
      <c r="U50" s="42">
        <v>1401</v>
      </c>
      <c r="V50" s="157">
        <v>260.10000000000002</v>
      </c>
      <c r="W50" s="43">
        <v>68</v>
      </c>
      <c r="Y50" s="173" t="s">
        <v>681</v>
      </c>
      <c r="Z50"/>
      <c r="AA50"/>
    </row>
    <row r="51" spans="1:46">
      <c r="A51" s="12" t="s">
        <v>682</v>
      </c>
      <c r="B51" s="9" t="s">
        <v>520</v>
      </c>
      <c r="C51" s="9">
        <v>2</v>
      </c>
      <c r="D51" s="9" t="s">
        <v>619</v>
      </c>
      <c r="E51" s="10">
        <v>9686.61</v>
      </c>
      <c r="F51" s="10">
        <v>1200</v>
      </c>
      <c r="G51" s="13">
        <v>10536.61</v>
      </c>
      <c r="H51" s="10"/>
      <c r="J51" s="5" t="s">
        <v>552</v>
      </c>
      <c r="K51" s="153">
        <v>2</v>
      </c>
      <c r="L51" s="18" t="s">
        <v>639</v>
      </c>
      <c r="M51" s="59" t="str">
        <f t="shared" si="1"/>
        <v>RM_Quality2Mitigation</v>
      </c>
      <c r="N51" s="151" t="s">
        <v>683</v>
      </c>
      <c r="O51" s="143"/>
      <c r="P51"/>
      <c r="R51" s="40" t="s">
        <v>677</v>
      </c>
      <c r="S51" s="41">
        <v>2</v>
      </c>
      <c r="T51" s="41">
        <v>4</v>
      </c>
      <c r="U51" s="42">
        <v>1401</v>
      </c>
      <c r="V51" s="157">
        <v>260.10000000000002</v>
      </c>
      <c r="W51" s="43">
        <v>68</v>
      </c>
      <c r="Y51" s="173" t="s">
        <v>684</v>
      </c>
      <c r="Z51"/>
      <c r="AA51"/>
    </row>
    <row r="52" spans="1:46">
      <c r="A52" s="12" t="s">
        <v>685</v>
      </c>
      <c r="B52" s="9" t="s">
        <v>520</v>
      </c>
      <c r="C52" s="9">
        <v>2</v>
      </c>
      <c r="D52" s="9" t="s">
        <v>619</v>
      </c>
      <c r="E52" s="10">
        <v>9686.61</v>
      </c>
      <c r="F52" s="10">
        <v>1200</v>
      </c>
      <c r="G52" s="13">
        <v>10536.61</v>
      </c>
      <c r="H52" s="10"/>
      <c r="J52" s="5" t="s">
        <v>552</v>
      </c>
      <c r="K52" s="153">
        <v>3</v>
      </c>
      <c r="L52" s="18" t="s">
        <v>639</v>
      </c>
      <c r="M52" s="59" t="str">
        <f t="shared" si="1"/>
        <v>RM_Quality3Mitigation</v>
      </c>
      <c r="N52" s="151" t="s">
        <v>686</v>
      </c>
      <c r="O52" s="143"/>
      <c r="P52"/>
      <c r="R52" s="40" t="s">
        <v>687</v>
      </c>
      <c r="S52" s="41">
        <v>2</v>
      </c>
      <c r="T52" s="41">
        <v>2</v>
      </c>
      <c r="U52" s="42">
        <v>1401</v>
      </c>
      <c r="V52" s="157">
        <v>244.17</v>
      </c>
      <c r="W52" s="43">
        <v>68</v>
      </c>
      <c r="Y52" s="173" t="s">
        <v>688</v>
      </c>
      <c r="Z52"/>
      <c r="AA52"/>
    </row>
    <row r="53" spans="1:46">
      <c r="A53" s="12" t="s">
        <v>689</v>
      </c>
      <c r="B53" s="9" t="s">
        <v>520</v>
      </c>
      <c r="C53" s="9">
        <v>2</v>
      </c>
      <c r="D53" s="9" t="s">
        <v>619</v>
      </c>
      <c r="E53" s="10">
        <v>9686.61</v>
      </c>
      <c r="F53" s="10">
        <v>1200</v>
      </c>
      <c r="G53" s="13">
        <v>10536.61</v>
      </c>
      <c r="H53" s="10"/>
      <c r="J53" s="5" t="s">
        <v>558</v>
      </c>
      <c r="K53" s="153">
        <v>2</v>
      </c>
      <c r="L53" s="18" t="s">
        <v>639</v>
      </c>
      <c r="M53" s="59" t="str">
        <f t="shared" si="1"/>
        <v>Stonewater2Mitigation</v>
      </c>
      <c r="N53" s="151" t="s">
        <v>690</v>
      </c>
      <c r="O53" s="143"/>
      <c r="P53"/>
      <c r="R53" s="40" t="s">
        <v>687</v>
      </c>
      <c r="S53" s="41">
        <v>2</v>
      </c>
      <c r="T53" s="41">
        <v>3</v>
      </c>
      <c r="U53" s="42">
        <v>1401</v>
      </c>
      <c r="V53" s="157">
        <v>244.17</v>
      </c>
      <c r="W53" s="43">
        <v>68</v>
      </c>
      <c r="Y53" s="173" t="s">
        <v>691</v>
      </c>
      <c r="Z53"/>
      <c r="AA53"/>
      <c r="AM53" s="52"/>
      <c r="AN53" s="52"/>
      <c r="AO53" s="52"/>
      <c r="AP53" s="52"/>
      <c r="AQ53" s="52"/>
      <c r="AR53" s="52"/>
      <c r="AS53" s="5"/>
      <c r="AT53" s="44"/>
    </row>
    <row r="54" spans="1:46">
      <c r="A54" s="12" t="s">
        <v>692</v>
      </c>
      <c r="B54" s="9" t="s">
        <v>504</v>
      </c>
      <c r="C54" s="9">
        <v>2</v>
      </c>
      <c r="D54" s="9" t="s">
        <v>551</v>
      </c>
      <c r="E54" s="10">
        <v>15445</v>
      </c>
      <c r="F54" s="10">
        <v>1625</v>
      </c>
      <c r="G54" s="13">
        <v>16545</v>
      </c>
      <c r="H54" s="10"/>
      <c r="J54" s="5" t="s">
        <v>558</v>
      </c>
      <c r="K54" s="153">
        <v>3</v>
      </c>
      <c r="L54" s="18" t="s">
        <v>639</v>
      </c>
      <c r="M54" s="59" t="str">
        <f t="shared" si="1"/>
        <v>Stonewater3Mitigation</v>
      </c>
      <c r="N54" s="151" t="s">
        <v>693</v>
      </c>
      <c r="O54" s="143"/>
      <c r="P54"/>
      <c r="R54" s="40" t="s">
        <v>687</v>
      </c>
      <c r="S54" s="41">
        <v>2</v>
      </c>
      <c r="T54" s="41">
        <v>4</v>
      </c>
      <c r="U54" s="42">
        <v>1401</v>
      </c>
      <c r="V54" s="157">
        <v>244.17</v>
      </c>
      <c r="W54" s="43">
        <v>68</v>
      </c>
      <c r="Y54" s="173" t="s">
        <v>694</v>
      </c>
      <c r="Z54"/>
      <c r="AA54"/>
      <c r="AM54" s="52"/>
      <c r="AN54" s="52"/>
      <c r="AO54" s="52"/>
      <c r="AP54" s="52"/>
      <c r="AQ54" s="52"/>
      <c r="AR54" s="52"/>
      <c r="AS54" s="5"/>
      <c r="AT54" s="44"/>
    </row>
    <row r="55" spans="1:46">
      <c r="A55" s="45" t="s">
        <v>280</v>
      </c>
      <c r="B55" s="44" t="s">
        <v>492</v>
      </c>
      <c r="C55" s="9">
        <v>3</v>
      </c>
      <c r="D55" s="44" t="s">
        <v>493</v>
      </c>
      <c r="E55" s="46">
        <v>13600</v>
      </c>
      <c r="F55" s="46">
        <v>3600</v>
      </c>
      <c r="G55" s="47">
        <v>16245</v>
      </c>
      <c r="H55" s="46"/>
      <c r="J55" s="5" t="s">
        <v>558</v>
      </c>
      <c r="K55" s="153">
        <v>4</v>
      </c>
      <c r="L55" s="18" t="s">
        <v>639</v>
      </c>
      <c r="M55" s="59" t="str">
        <f t="shared" si="1"/>
        <v>Stonewater4Mitigation</v>
      </c>
      <c r="N55" s="151" t="s">
        <v>695</v>
      </c>
      <c r="P55"/>
      <c r="R55" s="40" t="s">
        <v>696</v>
      </c>
      <c r="S55" s="41">
        <v>3</v>
      </c>
      <c r="T55" s="41">
        <v>2</v>
      </c>
      <c r="U55" s="42">
        <v>1510</v>
      </c>
      <c r="V55" s="157">
        <v>242.36</v>
      </c>
      <c r="W55" s="43">
        <v>60</v>
      </c>
      <c r="Y55" s="173" t="s">
        <v>697</v>
      </c>
      <c r="Z55"/>
      <c r="AA55"/>
    </row>
    <row r="56" spans="1:46">
      <c r="A56" s="12" t="s">
        <v>698</v>
      </c>
      <c r="B56" s="9" t="s">
        <v>520</v>
      </c>
      <c r="C56" s="9">
        <v>2</v>
      </c>
      <c r="D56" s="9" t="s">
        <v>619</v>
      </c>
      <c r="E56" s="10">
        <v>9686.61</v>
      </c>
      <c r="F56" s="10">
        <v>1200</v>
      </c>
      <c r="G56" s="13">
        <v>10536.61</v>
      </c>
      <c r="H56" s="10"/>
      <c r="J56" s="5" t="s">
        <v>563</v>
      </c>
      <c r="K56" s="153">
        <v>2</v>
      </c>
      <c r="L56" s="18" t="s">
        <v>639</v>
      </c>
      <c r="M56" s="59" t="str">
        <f t="shared" si="1"/>
        <v>Sullivan_SLSCO2Mitigation</v>
      </c>
      <c r="N56" s="151" t="s">
        <v>699</v>
      </c>
      <c r="P56"/>
      <c r="R56" s="40" t="s">
        <v>696</v>
      </c>
      <c r="S56" s="41">
        <v>3</v>
      </c>
      <c r="T56" s="41">
        <v>3</v>
      </c>
      <c r="U56" s="42">
        <v>1510</v>
      </c>
      <c r="V56" s="157">
        <v>242.36</v>
      </c>
      <c r="W56" s="43">
        <v>60</v>
      </c>
      <c r="Y56" s="173" t="s">
        <v>700</v>
      </c>
      <c r="Z56"/>
      <c r="AA56"/>
    </row>
    <row r="57" spans="1:46">
      <c r="A57" s="45" t="s">
        <v>292</v>
      </c>
      <c r="B57" s="44" t="s">
        <v>492</v>
      </c>
      <c r="C57" s="9">
        <v>4</v>
      </c>
      <c r="D57" s="44" t="s">
        <v>511</v>
      </c>
      <c r="E57" s="46">
        <v>14515</v>
      </c>
      <c r="F57" s="46">
        <v>3720</v>
      </c>
      <c r="G57" s="47">
        <v>17160</v>
      </c>
      <c r="H57" s="46"/>
      <c r="J57" s="5" t="s">
        <v>568</v>
      </c>
      <c r="K57" s="153">
        <v>2</v>
      </c>
      <c r="L57" s="18" t="s">
        <v>639</v>
      </c>
      <c r="M57" s="59" t="str">
        <f t="shared" si="1"/>
        <v>Tegrity2Mitigation</v>
      </c>
      <c r="N57" s="151" t="s">
        <v>701</v>
      </c>
      <c r="P57"/>
      <c r="R57" s="40" t="s">
        <v>696</v>
      </c>
      <c r="S57" s="41">
        <v>3</v>
      </c>
      <c r="T57" s="41">
        <v>4</v>
      </c>
      <c r="U57" s="42">
        <v>1510</v>
      </c>
      <c r="V57" s="157">
        <v>242.36</v>
      </c>
      <c r="W57" s="43">
        <v>60</v>
      </c>
      <c r="Y57" s="173" t="s">
        <v>702</v>
      </c>
      <c r="Z57"/>
      <c r="AA57"/>
    </row>
    <row r="58" spans="1:46">
      <c r="A58" s="12" t="s">
        <v>703</v>
      </c>
      <c r="B58" s="9" t="s">
        <v>520</v>
      </c>
      <c r="C58" s="9">
        <v>2</v>
      </c>
      <c r="D58" s="9" t="s">
        <v>521</v>
      </c>
      <c r="E58" s="10">
        <v>9686.61</v>
      </c>
      <c r="F58" s="10">
        <v>1200</v>
      </c>
      <c r="G58" s="13">
        <v>10536.61</v>
      </c>
      <c r="H58" s="10"/>
      <c r="J58" s="5" t="s">
        <v>568</v>
      </c>
      <c r="K58" s="153">
        <v>4</v>
      </c>
      <c r="L58" s="18" t="s">
        <v>639</v>
      </c>
      <c r="M58" s="59" t="str">
        <f t="shared" si="1"/>
        <v>Tegrity4Mitigation</v>
      </c>
      <c r="N58" s="151" t="s">
        <v>704</v>
      </c>
      <c r="P58"/>
      <c r="R58" s="40" t="s">
        <v>705</v>
      </c>
      <c r="S58" s="41">
        <v>4</v>
      </c>
      <c r="T58" s="41">
        <v>2</v>
      </c>
      <c r="U58" s="42">
        <v>1584</v>
      </c>
      <c r="V58" s="157">
        <v>239.09</v>
      </c>
      <c r="W58" s="43">
        <v>69</v>
      </c>
      <c r="Y58" s="173" t="s">
        <v>706</v>
      </c>
      <c r="Z58"/>
      <c r="AA58"/>
    </row>
    <row r="59" spans="1:46">
      <c r="A59" s="45" t="s">
        <v>707</v>
      </c>
      <c r="B59" s="44" t="s">
        <v>504</v>
      </c>
      <c r="C59" s="9">
        <v>2</v>
      </c>
      <c r="D59" s="44" t="s">
        <v>505</v>
      </c>
      <c r="E59" s="46">
        <v>16421</v>
      </c>
      <c r="F59" s="46">
        <v>1625</v>
      </c>
      <c r="G59" s="47">
        <v>17521</v>
      </c>
      <c r="H59" s="46"/>
      <c r="J59" s="165"/>
      <c r="K59" s="153"/>
      <c r="L59" s="18"/>
      <c r="M59" s="59"/>
      <c r="N59" s="143"/>
      <c r="P59"/>
      <c r="R59" s="40" t="s">
        <v>705</v>
      </c>
      <c r="S59" s="41">
        <v>4</v>
      </c>
      <c r="T59" s="41">
        <v>3</v>
      </c>
      <c r="U59" s="42">
        <v>1584</v>
      </c>
      <c r="V59" s="157">
        <v>239.09</v>
      </c>
      <c r="W59" s="43">
        <v>69</v>
      </c>
      <c r="Y59" s="173" t="s">
        <v>708</v>
      </c>
      <c r="Z59"/>
      <c r="AA59"/>
    </row>
    <row r="60" spans="1:46">
      <c r="A60" s="45" t="s">
        <v>709</v>
      </c>
      <c r="B60" s="44" t="s">
        <v>492</v>
      </c>
      <c r="C60" s="9">
        <v>2</v>
      </c>
      <c r="D60" s="44" t="s">
        <v>511</v>
      </c>
      <c r="E60" s="46">
        <v>14515</v>
      </c>
      <c r="F60" s="46">
        <v>3720</v>
      </c>
      <c r="G60" s="47">
        <v>17160</v>
      </c>
      <c r="H60" s="46"/>
      <c r="J60" s="165"/>
      <c r="K60" s="153"/>
      <c r="L60" s="18" t="s">
        <v>710</v>
      </c>
      <c r="M60" s="59"/>
      <c r="N60" s="143"/>
      <c r="R60" s="48" t="s">
        <v>705</v>
      </c>
      <c r="S60" s="49">
        <v>4</v>
      </c>
      <c r="T60" s="49">
        <v>4</v>
      </c>
      <c r="U60" s="50">
        <v>1584</v>
      </c>
      <c r="V60" s="167">
        <v>239.09</v>
      </c>
      <c r="W60" s="51">
        <v>69</v>
      </c>
      <c r="Y60" s="173" t="s">
        <v>711</v>
      </c>
      <c r="Z60"/>
      <c r="AA60"/>
    </row>
    <row r="61" spans="1:46">
      <c r="A61" s="45" t="s">
        <v>712</v>
      </c>
      <c r="B61" s="44" t="s">
        <v>492</v>
      </c>
      <c r="C61" s="9">
        <v>3</v>
      </c>
      <c r="D61" s="9" t="s">
        <v>541</v>
      </c>
      <c r="E61" s="10">
        <v>15100</v>
      </c>
      <c r="F61" s="10">
        <v>3900</v>
      </c>
      <c r="G61" s="13">
        <v>18100</v>
      </c>
      <c r="H61" s="10"/>
      <c r="J61" s="432" t="s">
        <v>488</v>
      </c>
      <c r="K61" s="433"/>
      <c r="L61" s="433"/>
      <c r="M61" s="433"/>
      <c r="N61" s="434"/>
      <c r="Y61" s="173"/>
      <c r="Z61" s="5"/>
    </row>
    <row r="62" spans="1:46">
      <c r="A62" s="53" t="s">
        <v>713</v>
      </c>
      <c r="B62" s="54" t="s">
        <v>504</v>
      </c>
      <c r="C62" s="14">
        <v>2</v>
      </c>
      <c r="D62" s="54" t="s">
        <v>505</v>
      </c>
      <c r="E62" s="55">
        <v>16421</v>
      </c>
      <c r="F62" s="55">
        <v>1625</v>
      </c>
      <c r="G62" s="56">
        <v>17521</v>
      </c>
      <c r="H62" s="46"/>
      <c r="I62" s="6" t="s">
        <v>494</v>
      </c>
      <c r="K62" s="6" t="s">
        <v>483</v>
      </c>
      <c r="L62" s="6" t="s">
        <v>495</v>
      </c>
      <c r="M62" s="6" t="s">
        <v>496</v>
      </c>
      <c r="N62" s="37" t="s">
        <v>484</v>
      </c>
      <c r="Y62" s="173"/>
      <c r="Z62" s="5"/>
    </row>
    <row r="63" spans="1:46">
      <c r="I63" s="165" t="s">
        <v>507</v>
      </c>
      <c r="J63" s="5" t="s">
        <v>507</v>
      </c>
      <c r="K63" s="153">
        <v>2</v>
      </c>
      <c r="L63" s="18" t="s">
        <v>710</v>
      </c>
      <c r="M63" s="59" t="str">
        <f>_xlfn.CONCAT(J63,K63,L63)</f>
        <v>Brizo2Events_2018_2019</v>
      </c>
      <c r="N63" s="151" t="s">
        <v>714</v>
      </c>
      <c r="S63" s="52" t="s">
        <v>715</v>
      </c>
      <c r="Y63" s="173"/>
      <c r="Z63" s="5"/>
    </row>
    <row r="64" spans="1:46">
      <c r="B64" s="44" t="s">
        <v>716</v>
      </c>
      <c r="I64" s="165" t="s">
        <v>516</v>
      </c>
      <c r="J64" s="5" t="s">
        <v>507</v>
      </c>
      <c r="K64" s="153">
        <v>3</v>
      </c>
      <c r="L64" s="18" t="s">
        <v>710</v>
      </c>
      <c r="M64" s="59" t="str">
        <f t="shared" ref="M64:M78" si="2">_xlfn.CONCAT(J64,K64,L64)</f>
        <v>Brizo3Events_2018_2019</v>
      </c>
      <c r="N64" s="151" t="s">
        <v>717</v>
      </c>
      <c r="R64" s="429" t="s">
        <v>490</v>
      </c>
      <c r="S64" s="430"/>
      <c r="T64" s="430"/>
      <c r="U64" s="430"/>
      <c r="V64" s="430"/>
      <c r="W64" s="431"/>
      <c r="Y64" s="171" t="s">
        <v>478</v>
      </c>
      <c r="Z64" s="5"/>
    </row>
    <row r="65" spans="1:26">
      <c r="A65" s="11" t="s">
        <v>481</v>
      </c>
      <c r="B65" s="6" t="s">
        <v>482</v>
      </c>
      <c r="C65" s="6" t="s">
        <v>483</v>
      </c>
      <c r="D65" s="6" t="s">
        <v>484</v>
      </c>
      <c r="E65" s="6" t="s">
        <v>485</v>
      </c>
      <c r="F65" s="6" t="s">
        <v>486</v>
      </c>
      <c r="G65" s="36" t="s">
        <v>487</v>
      </c>
      <c r="I65" s="165" t="s">
        <v>527</v>
      </c>
      <c r="J65" s="5" t="s">
        <v>516</v>
      </c>
      <c r="K65" s="153">
        <v>2</v>
      </c>
      <c r="L65" s="18" t="s">
        <v>710</v>
      </c>
      <c r="M65" s="59" t="str">
        <f t="shared" si="2"/>
        <v>Brydson2Events_2018_2019</v>
      </c>
      <c r="N65" s="151" t="s">
        <v>718</v>
      </c>
      <c r="R65" s="15" t="s">
        <v>497</v>
      </c>
      <c r="S65" s="16" t="s">
        <v>498</v>
      </c>
      <c r="T65" s="16" t="s">
        <v>483</v>
      </c>
      <c r="U65" s="16" t="s">
        <v>499</v>
      </c>
      <c r="V65" s="16" t="s">
        <v>500</v>
      </c>
      <c r="W65" s="17" t="s">
        <v>501</v>
      </c>
      <c r="Y65" s="172" t="s">
        <v>502</v>
      </c>
      <c r="Z65" s="5"/>
    </row>
    <row r="66" spans="1:26">
      <c r="A66" s="45" t="s">
        <v>540</v>
      </c>
      <c r="B66" s="44" t="s">
        <v>492</v>
      </c>
      <c r="C66" s="9">
        <v>3</v>
      </c>
      <c r="D66" s="9" t="s">
        <v>541</v>
      </c>
      <c r="E66" s="10">
        <v>11350</v>
      </c>
      <c r="F66" s="10">
        <v>3900</v>
      </c>
      <c r="I66" s="165" t="s">
        <v>531</v>
      </c>
      <c r="J66" s="5" t="s">
        <v>527</v>
      </c>
      <c r="K66" s="153">
        <v>2</v>
      </c>
      <c r="L66" s="18" t="s">
        <v>710</v>
      </c>
      <c r="M66" s="59" t="str">
        <f t="shared" si="2"/>
        <v>DRC2Events_2018_2019</v>
      </c>
      <c r="N66" s="151" t="s">
        <v>719</v>
      </c>
      <c r="R66" s="40" t="s">
        <v>720</v>
      </c>
      <c r="S66" s="41">
        <v>2</v>
      </c>
      <c r="T66" s="41">
        <v>2</v>
      </c>
      <c r="U66" s="42">
        <v>1115</v>
      </c>
      <c r="V66" s="41">
        <v>176.91</v>
      </c>
      <c r="W66" s="43">
        <v>28</v>
      </c>
      <c r="Y66" s="173" t="s">
        <v>721</v>
      </c>
      <c r="Z66" s="5"/>
    </row>
    <row r="67" spans="1:26">
      <c r="A67" s="12" t="s">
        <v>611</v>
      </c>
      <c r="B67" s="9" t="s">
        <v>492</v>
      </c>
      <c r="C67" s="9">
        <v>3</v>
      </c>
      <c r="D67" s="9" t="s">
        <v>541</v>
      </c>
      <c r="E67" s="10">
        <v>11350</v>
      </c>
      <c r="F67" s="10">
        <v>3900</v>
      </c>
      <c r="I67" s="165" t="s">
        <v>535</v>
      </c>
      <c r="J67" s="5" t="s">
        <v>531</v>
      </c>
      <c r="K67" s="153">
        <v>2</v>
      </c>
      <c r="L67" s="18" t="s">
        <v>710</v>
      </c>
      <c r="M67" s="59" t="str">
        <f t="shared" si="2"/>
        <v>DSW2Events_2018_2019</v>
      </c>
      <c r="N67" s="151" t="s">
        <v>722</v>
      </c>
      <c r="R67" s="40" t="s">
        <v>720</v>
      </c>
      <c r="S67" s="41">
        <v>2</v>
      </c>
      <c r="T67" s="41">
        <v>3</v>
      </c>
      <c r="U67" s="42">
        <v>1115</v>
      </c>
      <c r="V67" s="41">
        <v>176.91</v>
      </c>
      <c r="W67" s="43">
        <v>28</v>
      </c>
      <c r="Y67" s="173" t="s">
        <v>723</v>
      </c>
      <c r="Z67" s="5"/>
    </row>
    <row r="68" spans="1:26">
      <c r="A68" s="45" t="s">
        <v>632</v>
      </c>
      <c r="B68" s="44" t="s">
        <v>492</v>
      </c>
      <c r="C68" s="9">
        <v>3</v>
      </c>
      <c r="D68" s="9" t="s">
        <v>541</v>
      </c>
      <c r="E68" s="10">
        <v>11350</v>
      </c>
      <c r="F68" s="10">
        <v>3900</v>
      </c>
      <c r="I68" s="165" t="s">
        <v>542</v>
      </c>
      <c r="J68" s="5" t="s">
        <v>531</v>
      </c>
      <c r="K68" s="153">
        <v>3</v>
      </c>
      <c r="L68" s="18" t="s">
        <v>710</v>
      </c>
      <c r="M68" s="59" t="str">
        <f t="shared" si="2"/>
        <v>DSW3Events_2018_2019</v>
      </c>
      <c r="N68" s="151" t="s">
        <v>724</v>
      </c>
      <c r="R68" s="40" t="s">
        <v>720</v>
      </c>
      <c r="S68" s="41">
        <v>2</v>
      </c>
      <c r="T68" s="41">
        <v>4</v>
      </c>
      <c r="U68" s="42">
        <v>1115</v>
      </c>
      <c r="V68" s="41">
        <v>176.91</v>
      </c>
      <c r="W68" s="43">
        <v>28</v>
      </c>
      <c r="Y68" s="173" t="s">
        <v>725</v>
      </c>
      <c r="Z68" s="5"/>
    </row>
    <row r="69" spans="1:26">
      <c r="A69" s="45" t="s">
        <v>712</v>
      </c>
      <c r="B69" s="44" t="s">
        <v>492</v>
      </c>
      <c r="C69" s="9">
        <v>3</v>
      </c>
      <c r="D69" s="9" t="s">
        <v>541</v>
      </c>
      <c r="E69" s="10">
        <v>11350</v>
      </c>
      <c r="F69" s="10">
        <v>3900</v>
      </c>
      <c r="I69" s="165" t="s">
        <v>546</v>
      </c>
      <c r="J69" s="5" t="s">
        <v>535</v>
      </c>
      <c r="K69" s="153">
        <v>2</v>
      </c>
      <c r="L69" s="18" t="s">
        <v>710</v>
      </c>
      <c r="M69" s="59" t="str">
        <f t="shared" si="2"/>
        <v>Ducky2Events_2018_2019</v>
      </c>
      <c r="N69" s="151" t="s">
        <v>726</v>
      </c>
      <c r="R69" s="40" t="s">
        <v>727</v>
      </c>
      <c r="S69" s="41">
        <v>3</v>
      </c>
      <c r="T69" s="41">
        <v>2</v>
      </c>
      <c r="U69" s="42">
        <v>1507</v>
      </c>
      <c r="V69" s="41">
        <v>203.81</v>
      </c>
      <c r="W69" s="43">
        <v>56</v>
      </c>
      <c r="Y69" s="173" t="s">
        <v>728</v>
      </c>
      <c r="Z69" s="5"/>
    </row>
    <row r="70" spans="1:26">
      <c r="A70" s="12" t="s">
        <v>550</v>
      </c>
      <c r="B70" s="9" t="s">
        <v>504</v>
      </c>
      <c r="C70" s="9">
        <v>2</v>
      </c>
      <c r="D70" s="9" t="s">
        <v>551</v>
      </c>
      <c r="E70" s="10">
        <v>8870</v>
      </c>
      <c r="F70" s="10">
        <v>1625</v>
      </c>
      <c r="I70" s="165" t="s">
        <v>552</v>
      </c>
      <c r="J70" s="5" t="s">
        <v>542</v>
      </c>
      <c r="K70" s="153">
        <v>2</v>
      </c>
      <c r="L70" s="18" t="s">
        <v>710</v>
      </c>
      <c r="M70" s="59" t="str">
        <f t="shared" si="2"/>
        <v>JW_Turner2Events_2018_2019</v>
      </c>
      <c r="N70" s="151" t="s">
        <v>729</v>
      </c>
      <c r="R70" s="40" t="s">
        <v>727</v>
      </c>
      <c r="S70" s="41">
        <v>3</v>
      </c>
      <c r="T70" s="41">
        <v>3</v>
      </c>
      <c r="U70" s="42">
        <v>1507</v>
      </c>
      <c r="V70" s="41">
        <v>203.81</v>
      </c>
      <c r="W70" s="43">
        <v>56</v>
      </c>
      <c r="Y70" s="173" t="s">
        <v>730</v>
      </c>
      <c r="Z70" s="5"/>
    </row>
    <row r="71" spans="1:26">
      <c r="A71" s="12" t="s">
        <v>604</v>
      </c>
      <c r="B71" s="9" t="s">
        <v>504</v>
      </c>
      <c r="C71" s="9">
        <v>2</v>
      </c>
      <c r="D71" s="9" t="s">
        <v>551</v>
      </c>
      <c r="E71" s="10">
        <v>8870</v>
      </c>
      <c r="F71" s="10">
        <v>1625</v>
      </c>
      <c r="I71" s="165" t="s">
        <v>558</v>
      </c>
      <c r="J71" s="5" t="s">
        <v>542</v>
      </c>
      <c r="K71" s="153">
        <v>3</v>
      </c>
      <c r="L71" s="18" t="s">
        <v>710</v>
      </c>
      <c r="M71" s="59" t="str">
        <f t="shared" si="2"/>
        <v>JW_Turner3Events_2018_2019</v>
      </c>
      <c r="N71" s="151" t="s">
        <v>731</v>
      </c>
      <c r="R71" s="40" t="s">
        <v>727</v>
      </c>
      <c r="S71" s="41">
        <v>3</v>
      </c>
      <c r="T71" s="41">
        <v>4</v>
      </c>
      <c r="U71" s="42">
        <v>1507</v>
      </c>
      <c r="V71" s="41">
        <v>203.81</v>
      </c>
      <c r="W71" s="43">
        <v>56</v>
      </c>
      <c r="Y71" s="173" t="s">
        <v>732</v>
      </c>
      <c r="Z71" s="5"/>
    </row>
    <row r="72" spans="1:26">
      <c r="A72" s="12" t="s">
        <v>608</v>
      </c>
      <c r="B72" s="9" t="s">
        <v>504</v>
      </c>
      <c r="C72" s="9">
        <v>2</v>
      </c>
      <c r="D72" s="9" t="s">
        <v>551</v>
      </c>
      <c r="E72" s="10">
        <v>8870</v>
      </c>
      <c r="F72" s="10">
        <v>1625</v>
      </c>
      <c r="I72" s="165" t="s">
        <v>563</v>
      </c>
      <c r="J72" s="5" t="s">
        <v>546</v>
      </c>
      <c r="K72" s="153">
        <v>2</v>
      </c>
      <c r="L72" s="18" t="s">
        <v>710</v>
      </c>
      <c r="M72" s="59" t="str">
        <f t="shared" si="2"/>
        <v>Lemoine2Events_2018_2019</v>
      </c>
      <c r="N72" s="151" t="s">
        <v>733</v>
      </c>
      <c r="R72" s="40" t="s">
        <v>734</v>
      </c>
      <c r="S72" s="41">
        <v>4</v>
      </c>
      <c r="T72" s="41">
        <v>2</v>
      </c>
      <c r="U72" s="42">
        <v>1496</v>
      </c>
      <c r="V72" s="157">
        <v>214.5</v>
      </c>
      <c r="W72" s="43">
        <v>28</v>
      </c>
      <c r="Y72" s="173" t="s">
        <v>735</v>
      </c>
      <c r="Z72" s="5"/>
    </row>
    <row r="73" spans="1:26">
      <c r="A73" s="45" t="s">
        <v>625</v>
      </c>
      <c r="B73" s="9" t="s">
        <v>504</v>
      </c>
      <c r="C73" s="9">
        <v>2</v>
      </c>
      <c r="D73" s="9" t="s">
        <v>551</v>
      </c>
      <c r="E73" s="10">
        <v>8870</v>
      </c>
      <c r="F73" s="10">
        <v>1625</v>
      </c>
      <c r="I73" s="165" t="s">
        <v>568</v>
      </c>
      <c r="J73" s="5" t="s">
        <v>552</v>
      </c>
      <c r="K73" s="153">
        <v>2</v>
      </c>
      <c r="L73" s="18" t="s">
        <v>710</v>
      </c>
      <c r="M73" s="59" t="str">
        <f t="shared" si="2"/>
        <v>RM_Quality2Events_2018_2019</v>
      </c>
      <c r="N73" s="151" t="s">
        <v>736</v>
      </c>
      <c r="R73" s="40" t="s">
        <v>734</v>
      </c>
      <c r="S73" s="41">
        <v>4</v>
      </c>
      <c r="T73" s="41">
        <v>3</v>
      </c>
      <c r="U73" s="42">
        <v>1496</v>
      </c>
      <c r="V73" s="157">
        <v>214.5</v>
      </c>
      <c r="W73" s="43">
        <v>28</v>
      </c>
      <c r="Y73" s="173" t="s">
        <v>737</v>
      </c>
      <c r="Z73" s="5"/>
    </row>
    <row r="74" spans="1:26">
      <c r="A74" s="12" t="s">
        <v>649</v>
      </c>
      <c r="B74" s="9" t="s">
        <v>504</v>
      </c>
      <c r="C74" s="9">
        <v>2</v>
      </c>
      <c r="D74" s="9" t="s">
        <v>551</v>
      </c>
      <c r="E74" s="10">
        <v>8870</v>
      </c>
      <c r="F74" s="10">
        <v>1625</v>
      </c>
      <c r="J74" s="5" t="s">
        <v>552</v>
      </c>
      <c r="K74" s="153">
        <v>3</v>
      </c>
      <c r="L74" s="18" t="s">
        <v>710</v>
      </c>
      <c r="M74" s="59" t="str">
        <f t="shared" si="2"/>
        <v>RM_Quality3Events_2018_2019</v>
      </c>
      <c r="N74" s="151" t="s">
        <v>738</v>
      </c>
      <c r="R74" s="40" t="s">
        <v>734</v>
      </c>
      <c r="S74" s="41">
        <v>4</v>
      </c>
      <c r="T74" s="41">
        <v>4</v>
      </c>
      <c r="U74" s="42">
        <v>1496</v>
      </c>
      <c r="V74" s="157">
        <v>214.5</v>
      </c>
      <c r="W74" s="43">
        <v>28</v>
      </c>
      <c r="Y74" s="173" t="s">
        <v>739</v>
      </c>
      <c r="Z74" s="5"/>
    </row>
    <row r="75" spans="1:26">
      <c r="A75" s="12" t="s">
        <v>664</v>
      </c>
      <c r="B75" s="9" t="s">
        <v>504</v>
      </c>
      <c r="C75" s="9">
        <v>2</v>
      </c>
      <c r="D75" s="9" t="s">
        <v>551</v>
      </c>
      <c r="E75" s="10">
        <v>8870</v>
      </c>
      <c r="F75" s="10">
        <v>1625</v>
      </c>
      <c r="J75" s="5" t="s">
        <v>558</v>
      </c>
      <c r="K75" s="153">
        <v>2</v>
      </c>
      <c r="L75" s="18" t="s">
        <v>710</v>
      </c>
      <c r="M75" s="59" t="str">
        <f t="shared" si="2"/>
        <v>Stonewater2Events_2018_2019</v>
      </c>
      <c r="N75" s="151" t="s">
        <v>740</v>
      </c>
      <c r="R75" s="40" t="s">
        <v>741</v>
      </c>
      <c r="S75" s="41">
        <v>2</v>
      </c>
      <c r="T75" s="41">
        <v>2</v>
      </c>
      <c r="U75" s="42">
        <v>1423</v>
      </c>
      <c r="V75" s="41">
        <v>176.91</v>
      </c>
      <c r="W75" s="43">
        <v>38</v>
      </c>
      <c r="Y75" s="173" t="s">
        <v>742</v>
      </c>
      <c r="Z75" s="5"/>
    </row>
    <row r="76" spans="1:26">
      <c r="A76" s="45" t="s">
        <v>673</v>
      </c>
      <c r="B76" s="9" t="s">
        <v>504</v>
      </c>
      <c r="C76" s="9">
        <v>2</v>
      </c>
      <c r="D76" s="9" t="s">
        <v>551</v>
      </c>
      <c r="E76" s="10">
        <v>8870</v>
      </c>
      <c r="F76" s="10">
        <v>1625</v>
      </c>
      <c r="J76" s="5" t="s">
        <v>558</v>
      </c>
      <c r="K76" s="153">
        <v>3</v>
      </c>
      <c r="L76" s="18" t="s">
        <v>710</v>
      </c>
      <c r="M76" s="59" t="str">
        <f t="shared" si="2"/>
        <v>Stonewater3Events_2018_2019</v>
      </c>
      <c r="N76" s="151" t="s">
        <v>743</v>
      </c>
      <c r="R76" s="40" t="s">
        <v>741</v>
      </c>
      <c r="S76" s="41">
        <v>2</v>
      </c>
      <c r="T76" s="41">
        <v>3</v>
      </c>
      <c r="U76" s="42">
        <v>1423</v>
      </c>
      <c r="V76" s="41">
        <v>176.91</v>
      </c>
      <c r="W76" s="43">
        <v>38</v>
      </c>
      <c r="Y76" s="173" t="s">
        <v>744</v>
      </c>
      <c r="Z76" s="5"/>
    </row>
    <row r="77" spans="1:26">
      <c r="A77" s="12" t="s">
        <v>692</v>
      </c>
      <c r="B77" s="9" t="s">
        <v>504</v>
      </c>
      <c r="C77" s="9">
        <v>2</v>
      </c>
      <c r="D77" s="9" t="s">
        <v>551</v>
      </c>
      <c r="E77" s="10">
        <v>8870</v>
      </c>
      <c r="F77" s="10">
        <v>1625</v>
      </c>
      <c r="J77" s="5" t="s">
        <v>563</v>
      </c>
      <c r="K77" s="153">
        <v>2</v>
      </c>
      <c r="L77" s="18" t="s">
        <v>710</v>
      </c>
      <c r="M77" s="59" t="str">
        <f t="shared" si="2"/>
        <v>Sullivan_SLSCO2Events_2018_2019</v>
      </c>
      <c r="N77" s="151" t="s">
        <v>745</v>
      </c>
      <c r="R77" s="40" t="s">
        <v>741</v>
      </c>
      <c r="S77" s="41">
        <v>2</v>
      </c>
      <c r="T77" s="41">
        <v>4</v>
      </c>
      <c r="U77" s="42">
        <v>1423</v>
      </c>
      <c r="V77" s="41">
        <v>176.91</v>
      </c>
      <c r="W77" s="43">
        <v>38</v>
      </c>
      <c r="Y77" s="173" t="s">
        <v>746</v>
      </c>
      <c r="Z77" s="5"/>
    </row>
    <row r="78" spans="1:26">
      <c r="J78" s="5" t="s">
        <v>568</v>
      </c>
      <c r="K78" s="153">
        <v>2</v>
      </c>
      <c r="L78" s="18" t="s">
        <v>710</v>
      </c>
      <c r="M78" s="59" t="str">
        <f t="shared" si="2"/>
        <v>Tegrity2Events_2018_2019</v>
      </c>
      <c r="N78" s="151" t="s">
        <v>747</v>
      </c>
      <c r="R78" s="40" t="s">
        <v>748</v>
      </c>
      <c r="S78" s="41">
        <v>3</v>
      </c>
      <c r="T78" s="41">
        <v>2</v>
      </c>
      <c r="U78" s="42">
        <v>1454</v>
      </c>
      <c r="V78" s="41">
        <v>203.81</v>
      </c>
      <c r="W78" s="43">
        <v>26</v>
      </c>
      <c r="Y78" s="173" t="s">
        <v>749</v>
      </c>
      <c r="Z78" s="5"/>
    </row>
    <row r="79" spans="1:26">
      <c r="J79" s="165"/>
      <c r="K79" s="153"/>
      <c r="L79" s="18"/>
      <c r="M79" s="59"/>
      <c r="N79" s="143"/>
      <c r="R79" s="40" t="s">
        <v>748</v>
      </c>
      <c r="S79" s="41">
        <v>3</v>
      </c>
      <c r="T79" s="41">
        <v>3</v>
      </c>
      <c r="U79" s="42">
        <v>1454</v>
      </c>
      <c r="V79" s="41">
        <v>203.81</v>
      </c>
      <c r="W79" s="43">
        <v>26</v>
      </c>
      <c r="Y79" s="173" t="s">
        <v>750</v>
      </c>
      <c r="Z79" s="5"/>
    </row>
    <row r="80" spans="1:26">
      <c r="L80" s="5" t="s">
        <v>751</v>
      </c>
      <c r="R80" s="40" t="s">
        <v>748</v>
      </c>
      <c r="S80" s="41">
        <v>3</v>
      </c>
      <c r="T80" s="41">
        <v>4</v>
      </c>
      <c r="U80" s="42">
        <v>1454</v>
      </c>
      <c r="V80" s="41">
        <v>203.81</v>
      </c>
      <c r="W80" s="43">
        <v>26</v>
      </c>
      <c r="Y80" s="173" t="s">
        <v>752</v>
      </c>
      <c r="Z80" s="5"/>
    </row>
    <row r="81" spans="9:46">
      <c r="J81" s="432" t="s">
        <v>488</v>
      </c>
      <c r="K81" s="433"/>
      <c r="L81" s="433"/>
      <c r="M81" s="433"/>
      <c r="N81" s="434"/>
      <c r="R81" s="40" t="s">
        <v>753</v>
      </c>
      <c r="S81" s="41">
        <v>4</v>
      </c>
      <c r="T81" s="41">
        <v>2</v>
      </c>
      <c r="U81" s="42">
        <v>1579</v>
      </c>
      <c r="V81" s="157">
        <v>214.5</v>
      </c>
      <c r="W81" s="43">
        <v>27</v>
      </c>
      <c r="Y81" s="173" t="s">
        <v>754</v>
      </c>
      <c r="Z81" s="5"/>
    </row>
    <row r="82" spans="9:46">
      <c r="I82" s="6" t="s">
        <v>494</v>
      </c>
      <c r="K82" s="6" t="s">
        <v>483</v>
      </c>
      <c r="L82" s="6" t="s">
        <v>495</v>
      </c>
      <c r="M82" s="6" t="s">
        <v>496</v>
      </c>
      <c r="N82" s="37" t="s">
        <v>484</v>
      </c>
      <c r="R82" s="40" t="s">
        <v>753</v>
      </c>
      <c r="S82" s="41">
        <v>4</v>
      </c>
      <c r="T82" s="41">
        <v>3</v>
      </c>
      <c r="U82" s="42">
        <v>1579</v>
      </c>
      <c r="V82" s="157">
        <v>214.5</v>
      </c>
      <c r="W82" s="43">
        <v>27</v>
      </c>
      <c r="Y82" s="173" t="s">
        <v>755</v>
      </c>
      <c r="Z82" s="5"/>
    </row>
    <row r="83" spans="9:46">
      <c r="I83" s="166" t="s">
        <v>715</v>
      </c>
      <c r="J83" s="5" t="s">
        <v>715</v>
      </c>
      <c r="K83" s="153">
        <v>2</v>
      </c>
      <c r="L83" s="18" t="s">
        <v>751</v>
      </c>
      <c r="M83" s="59" t="str">
        <f>_xlfn.CONCAT(J83,K83,L83)</f>
        <v>Brizo_Tilt_Wall2RHP</v>
      </c>
      <c r="N83" s="151" t="s">
        <v>756</v>
      </c>
      <c r="R83" s="48" t="s">
        <v>753</v>
      </c>
      <c r="S83" s="49">
        <v>4</v>
      </c>
      <c r="T83" s="49">
        <v>4</v>
      </c>
      <c r="U83" s="50">
        <v>1579</v>
      </c>
      <c r="V83" s="157">
        <v>214.5</v>
      </c>
      <c r="W83" s="51">
        <v>27</v>
      </c>
      <c r="Y83" s="173" t="s">
        <v>757</v>
      </c>
      <c r="Z83" s="5"/>
    </row>
    <row r="84" spans="9:46">
      <c r="I84" s="165" t="s">
        <v>758</v>
      </c>
      <c r="J84" s="5" t="s">
        <v>715</v>
      </c>
      <c r="K84" s="153">
        <v>3</v>
      </c>
      <c r="L84" s="18" t="s">
        <v>751</v>
      </c>
      <c r="M84" s="59" t="str">
        <f t="shared" ref="M84:M97" si="3">_xlfn.CONCAT(J84,K84,L84)</f>
        <v>Brizo_Tilt_Wall3RHP</v>
      </c>
      <c r="N84" s="151" t="s">
        <v>756</v>
      </c>
      <c r="Y84" s="173"/>
      <c r="Z84" s="5"/>
    </row>
    <row r="85" spans="9:46">
      <c r="I85" s="165" t="s">
        <v>670</v>
      </c>
      <c r="J85" s="5" t="s">
        <v>715</v>
      </c>
      <c r="K85" s="153">
        <v>4</v>
      </c>
      <c r="L85" s="18" t="s">
        <v>751</v>
      </c>
      <c r="M85" s="59" t="str">
        <f t="shared" si="3"/>
        <v>Brizo_Tilt_Wall4RHP</v>
      </c>
      <c r="N85" s="151" t="s">
        <v>756</v>
      </c>
      <c r="Y85" s="173"/>
      <c r="Z85" s="5"/>
    </row>
    <row r="86" spans="9:46">
      <c r="I86" s="166" t="s">
        <v>759</v>
      </c>
      <c r="J86" s="5" t="s">
        <v>758</v>
      </c>
      <c r="K86" s="153">
        <v>2</v>
      </c>
      <c r="L86" s="18" t="s">
        <v>751</v>
      </c>
      <c r="M86" s="59" t="str">
        <f t="shared" si="3"/>
        <v>DSW_Steel_Frame2RHP</v>
      </c>
      <c r="N86" s="151" t="s">
        <v>760</v>
      </c>
      <c r="S86" s="52" t="s">
        <v>758</v>
      </c>
      <c r="Y86" s="173"/>
      <c r="Z86" s="5"/>
    </row>
    <row r="87" spans="9:46">
      <c r="I87" s="166" t="s">
        <v>761</v>
      </c>
      <c r="J87" s="5" t="s">
        <v>758</v>
      </c>
      <c r="K87" s="153">
        <v>3</v>
      </c>
      <c r="L87" s="18" t="s">
        <v>751</v>
      </c>
      <c r="M87" s="59" t="str">
        <f t="shared" si="3"/>
        <v>DSW_Steel_Frame3RHP</v>
      </c>
      <c r="N87" s="151" t="s">
        <v>760</v>
      </c>
      <c r="R87" s="429" t="s">
        <v>490</v>
      </c>
      <c r="S87" s="430"/>
      <c r="T87" s="430"/>
      <c r="U87" s="430"/>
      <c r="V87" s="430"/>
      <c r="W87" s="431"/>
      <c r="Y87" s="171" t="s">
        <v>478</v>
      </c>
      <c r="Z87" s="5"/>
    </row>
    <row r="88" spans="9:46">
      <c r="J88" s="5" t="s">
        <v>758</v>
      </c>
      <c r="K88" s="153">
        <v>4</v>
      </c>
      <c r="L88" s="18" t="s">
        <v>751</v>
      </c>
      <c r="M88" s="59" t="str">
        <f t="shared" si="3"/>
        <v>DSW_Steel_Frame4RHP</v>
      </c>
      <c r="N88" s="151" t="s">
        <v>760</v>
      </c>
      <c r="R88" s="15" t="s">
        <v>497</v>
      </c>
      <c r="S88" s="16" t="s">
        <v>498</v>
      </c>
      <c r="T88" s="16" t="s">
        <v>483</v>
      </c>
      <c r="U88" s="16" t="s">
        <v>499</v>
      </c>
      <c r="V88" s="16" t="s">
        <v>500</v>
      </c>
      <c r="W88" s="17" t="s">
        <v>501</v>
      </c>
      <c r="Y88" s="172" t="s">
        <v>502</v>
      </c>
      <c r="Z88" s="5"/>
      <c r="AM88" s="52"/>
      <c r="AN88" s="52"/>
      <c r="AO88" s="52"/>
      <c r="AP88" s="52"/>
      <c r="AQ88" s="52"/>
      <c r="AR88" s="52"/>
      <c r="AS88" s="5"/>
      <c r="AT88" s="44"/>
    </row>
    <row r="89" spans="9:46">
      <c r="J89" s="5" t="s">
        <v>670</v>
      </c>
      <c r="K89" s="153">
        <v>2</v>
      </c>
      <c r="L89" s="18" t="s">
        <v>751</v>
      </c>
      <c r="M89" s="59" t="str">
        <f t="shared" si="3"/>
        <v>ICON_3D2RHP</v>
      </c>
      <c r="N89" s="151" t="s">
        <v>762</v>
      </c>
      <c r="R89" s="40" t="s">
        <v>763</v>
      </c>
      <c r="S89" s="41">
        <v>2</v>
      </c>
      <c r="T89" s="41">
        <v>2</v>
      </c>
      <c r="U89" s="42">
        <v>1276</v>
      </c>
      <c r="V89" s="157">
        <v>156.80000000000001</v>
      </c>
      <c r="W89" s="43">
        <v>15</v>
      </c>
      <c r="Y89" s="173" t="s">
        <v>764</v>
      </c>
      <c r="Z89" s="5"/>
    </row>
    <row r="90" spans="9:46">
      <c r="J90" s="5" t="s">
        <v>670</v>
      </c>
      <c r="K90" s="153">
        <v>3</v>
      </c>
      <c r="L90" s="18" t="s">
        <v>751</v>
      </c>
      <c r="M90" s="59" t="str">
        <f t="shared" si="3"/>
        <v>ICON_3D3RHP</v>
      </c>
      <c r="N90" s="151" t="s">
        <v>762</v>
      </c>
      <c r="R90" s="40" t="s">
        <v>763</v>
      </c>
      <c r="S90" s="41">
        <v>2</v>
      </c>
      <c r="T90" s="41">
        <v>3</v>
      </c>
      <c r="U90" s="42">
        <v>1276</v>
      </c>
      <c r="V90" s="157">
        <v>156.80000000000001</v>
      </c>
      <c r="W90" s="43">
        <v>15</v>
      </c>
      <c r="Y90" s="173" t="s">
        <v>765</v>
      </c>
      <c r="Z90" s="5"/>
    </row>
    <row r="91" spans="9:46">
      <c r="J91" s="5" t="s">
        <v>670</v>
      </c>
      <c r="K91" s="153">
        <v>4</v>
      </c>
      <c r="L91" s="18" t="s">
        <v>751</v>
      </c>
      <c r="M91" s="59" t="str">
        <f t="shared" si="3"/>
        <v>ICON_3D4RHP</v>
      </c>
      <c r="N91" s="151" t="s">
        <v>762</v>
      </c>
      <c r="R91" s="40" t="s">
        <v>763</v>
      </c>
      <c r="S91" s="41">
        <v>2</v>
      </c>
      <c r="T91" s="41">
        <v>4</v>
      </c>
      <c r="U91" s="42">
        <v>1276</v>
      </c>
      <c r="V91" s="157">
        <v>156.80000000000001</v>
      </c>
      <c r="W91" s="43">
        <v>15</v>
      </c>
      <c r="Y91" s="173" t="s">
        <v>766</v>
      </c>
      <c r="Z91" s="5"/>
    </row>
    <row r="92" spans="9:46">
      <c r="J92" s="5" t="s">
        <v>759</v>
      </c>
      <c r="K92" s="153">
        <v>2</v>
      </c>
      <c r="L92" s="18" t="s">
        <v>751</v>
      </c>
      <c r="M92" s="59" t="str">
        <f t="shared" si="3"/>
        <v>JW_Turner_Resil_Struct2RHP</v>
      </c>
      <c r="N92" s="151" t="s">
        <v>767</v>
      </c>
      <c r="R92" s="40" t="s">
        <v>768</v>
      </c>
      <c r="S92" s="41">
        <v>2</v>
      </c>
      <c r="T92" s="41">
        <v>2</v>
      </c>
      <c r="U92" s="42">
        <v>1252</v>
      </c>
      <c r="V92" s="157">
        <v>156.80000000000001</v>
      </c>
      <c r="W92" s="43">
        <v>15</v>
      </c>
      <c r="Y92" s="173" t="s">
        <v>769</v>
      </c>
      <c r="Z92" s="5"/>
    </row>
    <row r="93" spans="9:46">
      <c r="J93" s="5" t="s">
        <v>759</v>
      </c>
      <c r="K93" s="153">
        <v>3</v>
      </c>
      <c r="L93" s="18" t="s">
        <v>751</v>
      </c>
      <c r="M93" s="59" t="str">
        <f t="shared" si="3"/>
        <v>JW_Turner_Resil_Struct3RHP</v>
      </c>
      <c r="N93" s="151" t="s">
        <v>767</v>
      </c>
      <c r="R93" s="40" t="s">
        <v>768</v>
      </c>
      <c r="S93" s="41">
        <v>2</v>
      </c>
      <c r="T93" s="41">
        <v>3</v>
      </c>
      <c r="U93" s="42">
        <v>1252</v>
      </c>
      <c r="V93" s="157">
        <v>156.80000000000001</v>
      </c>
      <c r="W93" s="43">
        <v>15</v>
      </c>
      <c r="Y93" s="173" t="s">
        <v>770</v>
      </c>
      <c r="Z93" s="5"/>
    </row>
    <row r="94" spans="9:46">
      <c r="J94" s="5" t="s">
        <v>759</v>
      </c>
      <c r="K94" s="153">
        <v>4</v>
      </c>
      <c r="L94" s="18" t="s">
        <v>751</v>
      </c>
      <c r="M94" s="59" t="str">
        <f t="shared" si="3"/>
        <v>JW_Turner_Resil_Struct4RHP</v>
      </c>
      <c r="N94" s="151" t="s">
        <v>767</v>
      </c>
      <c r="R94" s="40" t="s">
        <v>768</v>
      </c>
      <c r="S94" s="41">
        <v>2</v>
      </c>
      <c r="T94" s="41">
        <v>4</v>
      </c>
      <c r="U94" s="42">
        <v>1252</v>
      </c>
      <c r="V94" s="157">
        <v>156.80000000000001</v>
      </c>
      <c r="W94" s="43">
        <v>15</v>
      </c>
      <c r="Y94" s="173" t="s">
        <v>771</v>
      </c>
      <c r="Z94" s="5"/>
    </row>
    <row r="95" spans="9:46">
      <c r="J95" s="5" t="s">
        <v>761</v>
      </c>
      <c r="K95" s="153">
        <v>2</v>
      </c>
      <c r="L95" s="18" t="s">
        <v>751</v>
      </c>
      <c r="M95" s="59" t="str">
        <f t="shared" si="3"/>
        <v>JW_Turner_Resil_Wood2RHP</v>
      </c>
      <c r="N95" s="151" t="s">
        <v>772</v>
      </c>
      <c r="R95" s="40" t="s">
        <v>773</v>
      </c>
      <c r="S95" s="41">
        <v>2</v>
      </c>
      <c r="T95" s="41">
        <v>2</v>
      </c>
      <c r="U95" s="42">
        <v>1252</v>
      </c>
      <c r="V95" s="157">
        <v>156.80000000000001</v>
      </c>
      <c r="W95" s="43">
        <v>38</v>
      </c>
      <c r="Y95" s="173" t="s">
        <v>774</v>
      </c>
      <c r="Z95" s="5"/>
    </row>
    <row r="96" spans="9:46">
      <c r="J96" s="5" t="s">
        <v>761</v>
      </c>
      <c r="K96" s="153">
        <v>3</v>
      </c>
      <c r="L96" s="18" t="s">
        <v>751</v>
      </c>
      <c r="M96" s="59" t="str">
        <f t="shared" si="3"/>
        <v>JW_Turner_Resil_Wood3RHP</v>
      </c>
      <c r="N96" s="151" t="s">
        <v>772</v>
      </c>
      <c r="R96" s="40" t="s">
        <v>773</v>
      </c>
      <c r="S96" s="41">
        <v>2</v>
      </c>
      <c r="T96" s="41">
        <v>3</v>
      </c>
      <c r="U96" s="42">
        <v>1252</v>
      </c>
      <c r="V96" s="157">
        <v>156.80000000000001</v>
      </c>
      <c r="W96" s="43">
        <v>38</v>
      </c>
      <c r="Y96" s="173" t="s">
        <v>775</v>
      </c>
      <c r="Z96" s="5"/>
    </row>
    <row r="97" spans="10:46">
      <c r="J97" s="5" t="s">
        <v>761</v>
      </c>
      <c r="K97" s="153">
        <v>4</v>
      </c>
      <c r="L97" s="18" t="s">
        <v>751</v>
      </c>
      <c r="M97" s="59" t="str">
        <f t="shared" si="3"/>
        <v>JW_Turner_Resil_Wood4RHP</v>
      </c>
      <c r="N97" s="151" t="s">
        <v>772</v>
      </c>
      <c r="R97" s="40" t="s">
        <v>773</v>
      </c>
      <c r="S97" s="41">
        <v>2</v>
      </c>
      <c r="T97" s="41">
        <v>4</v>
      </c>
      <c r="U97" s="42">
        <v>1252</v>
      </c>
      <c r="V97" s="157">
        <v>156.80000000000001</v>
      </c>
      <c r="W97" s="43">
        <v>38</v>
      </c>
      <c r="Y97" s="173" t="s">
        <v>776</v>
      </c>
      <c r="Z97" s="5"/>
    </row>
    <row r="98" spans="10:46">
      <c r="R98" s="40" t="s">
        <v>777</v>
      </c>
      <c r="S98" s="41">
        <v>3</v>
      </c>
      <c r="T98" s="41">
        <v>2</v>
      </c>
      <c r="U98" s="42">
        <v>1497</v>
      </c>
      <c r="V98" s="157">
        <v>156.80000000000001</v>
      </c>
      <c r="W98" s="43">
        <v>42</v>
      </c>
      <c r="Y98" s="173" t="s">
        <v>778</v>
      </c>
      <c r="Z98" s="5"/>
    </row>
    <row r="99" spans="10:46">
      <c r="R99" s="40" t="s">
        <v>777</v>
      </c>
      <c r="S99" s="41">
        <v>3</v>
      </c>
      <c r="T99" s="41">
        <v>3</v>
      </c>
      <c r="U99" s="42">
        <v>1497</v>
      </c>
      <c r="V99" s="157">
        <v>156.80000000000001</v>
      </c>
      <c r="W99" s="43">
        <v>42</v>
      </c>
      <c r="Y99" s="173" t="s">
        <v>779</v>
      </c>
      <c r="Z99" s="5"/>
    </row>
    <row r="100" spans="10:46">
      <c r="R100" s="40" t="s">
        <v>777</v>
      </c>
      <c r="S100" s="41">
        <v>3</v>
      </c>
      <c r="T100" s="41">
        <v>4</v>
      </c>
      <c r="U100" s="42">
        <v>1497</v>
      </c>
      <c r="V100" s="157">
        <v>156.80000000000001</v>
      </c>
      <c r="W100" s="43">
        <v>42</v>
      </c>
      <c r="Y100" s="173" t="s">
        <v>780</v>
      </c>
      <c r="Z100" s="5"/>
    </row>
    <row r="101" spans="10:46">
      <c r="R101" s="40" t="s">
        <v>781</v>
      </c>
      <c r="S101" s="41">
        <v>3</v>
      </c>
      <c r="T101" s="41">
        <v>2</v>
      </c>
      <c r="U101" s="42">
        <v>1473</v>
      </c>
      <c r="V101" s="157">
        <v>156.80000000000001</v>
      </c>
      <c r="W101" s="43">
        <v>20</v>
      </c>
      <c r="Y101" s="173" t="s">
        <v>782</v>
      </c>
      <c r="Z101" s="5"/>
    </row>
    <row r="102" spans="10:46">
      <c r="R102" s="40" t="s">
        <v>781</v>
      </c>
      <c r="S102" s="41">
        <v>3</v>
      </c>
      <c r="T102" s="41">
        <v>3</v>
      </c>
      <c r="U102" s="42">
        <v>1473</v>
      </c>
      <c r="V102" s="157">
        <v>156.80000000000001</v>
      </c>
      <c r="W102" s="43">
        <v>20</v>
      </c>
      <c r="Y102" s="173" t="s">
        <v>783</v>
      </c>
      <c r="Z102" s="5"/>
    </row>
    <row r="103" spans="10:46">
      <c r="R103" s="40" t="s">
        <v>781</v>
      </c>
      <c r="S103" s="41">
        <v>3</v>
      </c>
      <c r="T103" s="41">
        <v>4</v>
      </c>
      <c r="U103" s="42">
        <v>1473</v>
      </c>
      <c r="V103" s="157">
        <v>156.80000000000001</v>
      </c>
      <c r="W103" s="43">
        <v>20</v>
      </c>
      <c r="Y103" s="173" t="s">
        <v>784</v>
      </c>
      <c r="Z103" s="5"/>
    </row>
    <row r="104" spans="10:46">
      <c r="R104" s="40" t="s">
        <v>785</v>
      </c>
      <c r="S104" s="41">
        <v>3</v>
      </c>
      <c r="T104" s="41">
        <v>2</v>
      </c>
      <c r="U104" s="42">
        <v>1473</v>
      </c>
      <c r="V104" s="157">
        <v>156.80000000000001</v>
      </c>
      <c r="W104" s="43">
        <v>38</v>
      </c>
      <c r="Y104" s="173" t="s">
        <v>786</v>
      </c>
      <c r="Z104" s="5"/>
    </row>
    <row r="105" spans="10:46">
      <c r="R105" s="40" t="s">
        <v>785</v>
      </c>
      <c r="S105" s="41">
        <v>3</v>
      </c>
      <c r="T105" s="41">
        <v>3</v>
      </c>
      <c r="U105" s="42">
        <v>1473</v>
      </c>
      <c r="V105" s="157">
        <v>156.80000000000001</v>
      </c>
      <c r="W105" s="43">
        <v>38</v>
      </c>
      <c r="Y105" s="173" t="s">
        <v>787</v>
      </c>
      <c r="Z105" s="5"/>
    </row>
    <row r="106" spans="10:46">
      <c r="R106" s="40" t="s">
        <v>785</v>
      </c>
      <c r="S106" s="41">
        <v>3</v>
      </c>
      <c r="T106" s="41">
        <v>4</v>
      </c>
      <c r="U106" s="42">
        <v>1473</v>
      </c>
      <c r="V106" s="157">
        <v>156.80000000000001</v>
      </c>
      <c r="W106" s="43">
        <v>38</v>
      </c>
      <c r="Y106" s="173" t="s">
        <v>788</v>
      </c>
      <c r="Z106" s="5"/>
    </row>
    <row r="107" spans="10:46">
      <c r="R107" s="40" t="s">
        <v>789</v>
      </c>
      <c r="S107" s="41">
        <v>2</v>
      </c>
      <c r="T107" s="41">
        <v>2</v>
      </c>
      <c r="U107" s="42">
        <v>1180</v>
      </c>
      <c r="V107" s="157">
        <v>156.80000000000001</v>
      </c>
      <c r="W107" s="43">
        <v>40</v>
      </c>
      <c r="Y107" s="173" t="s">
        <v>790</v>
      </c>
      <c r="Z107" s="5"/>
    </row>
    <row r="108" spans="10:46">
      <c r="R108" s="40" t="s">
        <v>789</v>
      </c>
      <c r="S108" s="41">
        <v>2</v>
      </c>
      <c r="T108" s="41">
        <v>3</v>
      </c>
      <c r="U108" s="42">
        <v>1180</v>
      </c>
      <c r="V108" s="157">
        <v>156.80000000000001</v>
      </c>
      <c r="W108" s="43">
        <v>40</v>
      </c>
      <c r="Y108" s="173" t="s">
        <v>791</v>
      </c>
      <c r="Z108" s="5"/>
    </row>
    <row r="109" spans="10:46">
      <c r="R109" s="40" t="s">
        <v>789</v>
      </c>
      <c r="S109" s="41">
        <v>2</v>
      </c>
      <c r="T109" s="41">
        <v>4</v>
      </c>
      <c r="U109" s="42">
        <v>1180</v>
      </c>
      <c r="V109" s="157">
        <v>156.80000000000001</v>
      </c>
      <c r="W109" s="43">
        <v>40</v>
      </c>
      <c r="Y109" s="173" t="s">
        <v>792</v>
      </c>
      <c r="Z109" s="5"/>
    </row>
    <row r="110" spans="10:46">
      <c r="R110" s="40" t="s">
        <v>793</v>
      </c>
      <c r="S110" s="41">
        <v>2</v>
      </c>
      <c r="T110" s="41">
        <v>2</v>
      </c>
      <c r="U110" s="42">
        <v>1180</v>
      </c>
      <c r="V110" s="157">
        <v>156.80000000000001</v>
      </c>
      <c r="W110" s="43">
        <v>26</v>
      </c>
      <c r="Y110" s="173" t="s">
        <v>794</v>
      </c>
      <c r="Z110" s="5"/>
      <c r="AM110" s="52"/>
      <c r="AN110" s="52"/>
      <c r="AO110" s="52"/>
      <c r="AP110" s="52"/>
      <c r="AQ110" s="52"/>
      <c r="AR110" s="52"/>
      <c r="AS110" s="5"/>
      <c r="AT110" s="44"/>
    </row>
    <row r="111" spans="10:46">
      <c r="R111" s="40" t="s">
        <v>793</v>
      </c>
      <c r="S111" s="41">
        <v>2</v>
      </c>
      <c r="T111" s="41">
        <v>3</v>
      </c>
      <c r="U111" s="42">
        <v>1180</v>
      </c>
      <c r="V111" s="157">
        <v>156.80000000000001</v>
      </c>
      <c r="W111" s="43">
        <v>26</v>
      </c>
      <c r="Y111" s="173" t="s">
        <v>795</v>
      </c>
      <c r="Z111" s="5"/>
      <c r="AM111" s="52"/>
      <c r="AN111" s="52"/>
      <c r="AO111" s="52"/>
      <c r="AP111" s="52"/>
      <c r="AQ111" s="52"/>
      <c r="AR111" s="52"/>
      <c r="AS111" s="5"/>
      <c r="AT111" s="44"/>
    </row>
    <row r="112" spans="10:46">
      <c r="R112" s="40" t="s">
        <v>793</v>
      </c>
      <c r="S112" s="41">
        <v>2</v>
      </c>
      <c r="T112" s="41">
        <v>4</v>
      </c>
      <c r="U112" s="42">
        <v>1180</v>
      </c>
      <c r="V112" s="157">
        <v>156.80000000000001</v>
      </c>
      <c r="W112" s="43">
        <v>26</v>
      </c>
      <c r="Y112" s="173" t="s">
        <v>796</v>
      </c>
      <c r="Z112" s="5"/>
    </row>
    <row r="113" spans="18:26">
      <c r="R113" s="40" t="s">
        <v>797</v>
      </c>
      <c r="S113" s="41">
        <v>2</v>
      </c>
      <c r="T113" s="41">
        <v>2</v>
      </c>
      <c r="U113" s="42">
        <v>1180</v>
      </c>
      <c r="V113" s="157">
        <v>156.80000000000001</v>
      </c>
      <c r="W113" s="43">
        <v>26</v>
      </c>
      <c r="Y113" s="173" t="s">
        <v>798</v>
      </c>
      <c r="Z113" s="5"/>
    </row>
    <row r="114" spans="18:26">
      <c r="R114" s="40" t="s">
        <v>797</v>
      </c>
      <c r="S114" s="41">
        <v>2</v>
      </c>
      <c r="T114" s="41">
        <v>3</v>
      </c>
      <c r="U114" s="42">
        <v>1180</v>
      </c>
      <c r="V114" s="157">
        <v>156.80000000000001</v>
      </c>
      <c r="W114" s="43">
        <v>26</v>
      </c>
      <c r="Y114" s="173" t="s">
        <v>799</v>
      </c>
      <c r="Z114" s="5"/>
    </row>
    <row r="115" spans="18:26">
      <c r="R115" s="40" t="s">
        <v>797</v>
      </c>
      <c r="S115" s="41">
        <v>2</v>
      </c>
      <c r="T115" s="41">
        <v>4</v>
      </c>
      <c r="U115" s="42">
        <v>1180</v>
      </c>
      <c r="V115" s="157">
        <v>156.80000000000001</v>
      </c>
      <c r="W115" s="43">
        <v>26</v>
      </c>
      <c r="Y115" s="173" t="s">
        <v>800</v>
      </c>
      <c r="Z115" s="5"/>
    </row>
    <row r="116" spans="18:26">
      <c r="R116" s="40" t="s">
        <v>801</v>
      </c>
      <c r="S116" s="41">
        <v>3</v>
      </c>
      <c r="T116" s="41">
        <v>2</v>
      </c>
      <c r="U116" s="42">
        <v>1470</v>
      </c>
      <c r="V116" s="157">
        <v>156.80000000000001</v>
      </c>
      <c r="W116" s="43">
        <v>42</v>
      </c>
      <c r="Y116" s="173" t="s">
        <v>802</v>
      </c>
      <c r="Z116" s="5"/>
    </row>
    <row r="117" spans="18:26">
      <c r="R117" s="40" t="s">
        <v>801</v>
      </c>
      <c r="S117" s="41">
        <v>3</v>
      </c>
      <c r="T117" s="41">
        <v>3</v>
      </c>
      <c r="U117" s="42">
        <v>1470</v>
      </c>
      <c r="V117" s="157">
        <v>156.80000000000001</v>
      </c>
      <c r="W117" s="43">
        <v>42</v>
      </c>
      <c r="Y117" s="173" t="s">
        <v>803</v>
      </c>
      <c r="Z117" s="5"/>
    </row>
    <row r="118" spans="18:26">
      <c r="R118" s="40" t="s">
        <v>801</v>
      </c>
      <c r="S118" s="41">
        <v>3</v>
      </c>
      <c r="T118" s="41">
        <v>4</v>
      </c>
      <c r="U118" s="42">
        <v>1470</v>
      </c>
      <c r="V118" s="157">
        <v>156.80000000000001</v>
      </c>
      <c r="W118" s="43">
        <v>42</v>
      </c>
      <c r="Y118" s="173" t="s">
        <v>804</v>
      </c>
      <c r="Z118" s="5"/>
    </row>
    <row r="119" spans="18:26">
      <c r="R119" s="40" t="s">
        <v>805</v>
      </c>
      <c r="S119" s="41">
        <v>3</v>
      </c>
      <c r="T119" s="41">
        <v>2</v>
      </c>
      <c r="U119" s="42">
        <v>1446</v>
      </c>
      <c r="V119" s="157">
        <v>156.80000000000001</v>
      </c>
      <c r="W119" s="43">
        <v>19</v>
      </c>
      <c r="Y119" s="173" t="s">
        <v>806</v>
      </c>
      <c r="Z119" s="5"/>
    </row>
    <row r="120" spans="18:26">
      <c r="R120" s="40" t="s">
        <v>805</v>
      </c>
      <c r="S120" s="41">
        <v>3</v>
      </c>
      <c r="T120" s="41">
        <v>3</v>
      </c>
      <c r="U120" s="42">
        <v>1446</v>
      </c>
      <c r="V120" s="157">
        <v>156.80000000000001</v>
      </c>
      <c r="W120" s="43">
        <v>19</v>
      </c>
      <c r="Y120" s="173" t="s">
        <v>807</v>
      </c>
      <c r="Z120" s="5"/>
    </row>
    <row r="121" spans="18:26">
      <c r="R121" s="40" t="s">
        <v>805</v>
      </c>
      <c r="S121" s="41">
        <v>3</v>
      </c>
      <c r="T121" s="41">
        <v>4</v>
      </c>
      <c r="U121" s="42">
        <v>1446</v>
      </c>
      <c r="V121" s="157">
        <v>156.80000000000001</v>
      </c>
      <c r="W121" s="43">
        <v>19</v>
      </c>
      <c r="Y121" s="173" t="s">
        <v>808</v>
      </c>
      <c r="Z121" s="5"/>
    </row>
    <row r="122" spans="18:26">
      <c r="R122" s="40" t="s">
        <v>809</v>
      </c>
      <c r="S122" s="41">
        <v>3</v>
      </c>
      <c r="T122" s="41">
        <v>2</v>
      </c>
      <c r="U122" s="42">
        <v>1446</v>
      </c>
      <c r="V122" s="157">
        <v>156.80000000000001</v>
      </c>
      <c r="W122" s="43">
        <v>38</v>
      </c>
      <c r="Y122" s="173" t="s">
        <v>810</v>
      </c>
      <c r="Z122" s="5"/>
    </row>
    <row r="123" spans="18:26">
      <c r="R123" s="40" t="s">
        <v>809</v>
      </c>
      <c r="S123" s="41">
        <v>3</v>
      </c>
      <c r="T123" s="41">
        <v>3</v>
      </c>
      <c r="U123" s="42">
        <v>1446</v>
      </c>
      <c r="V123" s="157">
        <v>156.80000000000001</v>
      </c>
      <c r="W123" s="43">
        <v>38</v>
      </c>
      <c r="Y123" s="173" t="s">
        <v>811</v>
      </c>
      <c r="Z123" s="5"/>
    </row>
    <row r="124" spans="18:26">
      <c r="R124" s="40" t="s">
        <v>809</v>
      </c>
      <c r="S124" s="41">
        <v>3</v>
      </c>
      <c r="T124" s="41">
        <v>4</v>
      </c>
      <c r="U124" s="42">
        <v>1446</v>
      </c>
      <c r="V124" s="157">
        <v>156.80000000000001</v>
      </c>
      <c r="W124" s="43">
        <v>38</v>
      </c>
      <c r="Y124" s="173" t="s">
        <v>812</v>
      </c>
      <c r="Z124" s="5"/>
    </row>
    <row r="125" spans="18:26">
      <c r="R125" s="40" t="s">
        <v>813</v>
      </c>
      <c r="S125" s="41">
        <v>4</v>
      </c>
      <c r="T125" s="41">
        <v>2</v>
      </c>
      <c r="U125" s="42">
        <v>1571</v>
      </c>
      <c r="V125" s="157">
        <v>156.80000000000001</v>
      </c>
      <c r="W125" s="43">
        <v>47</v>
      </c>
      <c r="Y125" s="173" t="s">
        <v>814</v>
      </c>
      <c r="Z125" s="5"/>
    </row>
    <row r="126" spans="18:26">
      <c r="R126" s="40" t="s">
        <v>813</v>
      </c>
      <c r="S126" s="41">
        <v>4</v>
      </c>
      <c r="T126" s="41">
        <v>3</v>
      </c>
      <c r="U126" s="42">
        <v>1571</v>
      </c>
      <c r="V126" s="157">
        <v>156.80000000000001</v>
      </c>
      <c r="W126" s="43">
        <v>47</v>
      </c>
      <c r="Y126" s="173" t="s">
        <v>815</v>
      </c>
      <c r="Z126" s="5"/>
    </row>
    <row r="127" spans="18:26">
      <c r="R127" s="40" t="s">
        <v>813</v>
      </c>
      <c r="S127" s="41">
        <v>4</v>
      </c>
      <c r="T127" s="41">
        <v>4</v>
      </c>
      <c r="U127" s="42">
        <v>1571</v>
      </c>
      <c r="V127" s="157">
        <v>156.80000000000001</v>
      </c>
      <c r="W127" s="43">
        <v>47</v>
      </c>
      <c r="Y127" s="173" t="s">
        <v>816</v>
      </c>
      <c r="Z127" s="5"/>
    </row>
    <row r="128" spans="18:26">
      <c r="R128" s="40" t="s">
        <v>817</v>
      </c>
      <c r="S128" s="41">
        <v>4</v>
      </c>
      <c r="T128" s="41">
        <v>2</v>
      </c>
      <c r="U128" s="42">
        <v>1552</v>
      </c>
      <c r="V128" s="157">
        <v>156.80000000000001</v>
      </c>
      <c r="W128" s="43">
        <v>26</v>
      </c>
      <c r="Y128" s="173" t="s">
        <v>818</v>
      </c>
      <c r="Z128" s="5"/>
    </row>
    <row r="129" spans="18:26">
      <c r="R129" s="40" t="s">
        <v>817</v>
      </c>
      <c r="S129" s="41">
        <v>4</v>
      </c>
      <c r="T129" s="41">
        <v>3</v>
      </c>
      <c r="U129" s="42">
        <v>1552</v>
      </c>
      <c r="V129" s="157">
        <v>156.80000000000001</v>
      </c>
      <c r="W129" s="43">
        <v>26</v>
      </c>
      <c r="Y129" s="173" t="s">
        <v>819</v>
      </c>
      <c r="Z129" s="5"/>
    </row>
    <row r="130" spans="18:26">
      <c r="R130" s="40" t="s">
        <v>817</v>
      </c>
      <c r="S130" s="41">
        <v>4</v>
      </c>
      <c r="T130" s="41">
        <v>4</v>
      </c>
      <c r="U130" s="42">
        <v>1552</v>
      </c>
      <c r="V130" s="157">
        <v>156.80000000000001</v>
      </c>
      <c r="W130" s="43">
        <v>26</v>
      </c>
      <c r="Y130" s="173" t="s">
        <v>820</v>
      </c>
      <c r="Z130" s="5"/>
    </row>
    <row r="131" spans="18:26">
      <c r="R131" s="40" t="s">
        <v>821</v>
      </c>
      <c r="S131" s="41">
        <v>4</v>
      </c>
      <c r="T131" s="41">
        <v>2</v>
      </c>
      <c r="U131" s="42">
        <v>1552</v>
      </c>
      <c r="V131" s="157">
        <v>156.80000000000001</v>
      </c>
      <c r="W131" s="43">
        <v>44</v>
      </c>
      <c r="Y131" s="173" t="s">
        <v>822</v>
      </c>
      <c r="Z131" s="5"/>
    </row>
    <row r="132" spans="18:26">
      <c r="R132" s="40" t="s">
        <v>821</v>
      </c>
      <c r="S132" s="41">
        <v>4</v>
      </c>
      <c r="T132" s="41">
        <v>3</v>
      </c>
      <c r="U132" s="42">
        <v>1552</v>
      </c>
      <c r="V132" s="157">
        <v>156.80000000000001</v>
      </c>
      <c r="W132" s="43">
        <v>44</v>
      </c>
      <c r="Y132" s="173" t="s">
        <v>823</v>
      </c>
      <c r="Z132" s="5"/>
    </row>
    <row r="133" spans="18:26">
      <c r="R133" s="40" t="s">
        <v>821</v>
      </c>
      <c r="S133" s="41">
        <v>4</v>
      </c>
      <c r="T133" s="41">
        <v>4</v>
      </c>
      <c r="U133" s="42">
        <v>1552</v>
      </c>
      <c r="V133" s="157">
        <v>156.80000000000001</v>
      </c>
      <c r="W133" s="43">
        <v>44</v>
      </c>
      <c r="Y133" s="173" t="s">
        <v>824</v>
      </c>
      <c r="Z133" s="5"/>
    </row>
    <row r="134" spans="18:26">
      <c r="R134" s="40" t="s">
        <v>825</v>
      </c>
      <c r="S134" s="41">
        <v>3</v>
      </c>
      <c r="T134" s="41">
        <v>2</v>
      </c>
      <c r="U134" s="42">
        <v>1453</v>
      </c>
      <c r="V134" s="157">
        <v>156.80000000000001</v>
      </c>
      <c r="W134" s="43">
        <v>34</v>
      </c>
      <c r="Y134" s="174" t="s">
        <v>826</v>
      </c>
      <c r="Z134" s="5"/>
    </row>
    <row r="135" spans="18:26">
      <c r="R135" s="40" t="s">
        <v>825</v>
      </c>
      <c r="S135" s="41">
        <v>3</v>
      </c>
      <c r="T135" s="41">
        <v>3</v>
      </c>
      <c r="U135" s="42">
        <v>1453</v>
      </c>
      <c r="V135" s="157">
        <v>156.80000000000001</v>
      </c>
      <c r="W135" s="43">
        <v>34</v>
      </c>
      <c r="Y135" s="175" t="s">
        <v>827</v>
      </c>
      <c r="Z135" s="5"/>
    </row>
    <row r="136" spans="18:26">
      <c r="R136" s="40" t="s">
        <v>825</v>
      </c>
      <c r="S136" s="41">
        <v>3</v>
      </c>
      <c r="T136" s="41">
        <v>4</v>
      </c>
      <c r="U136" s="42">
        <v>1453</v>
      </c>
      <c r="V136" s="157">
        <v>156.80000000000001</v>
      </c>
      <c r="W136" s="43">
        <v>34</v>
      </c>
      <c r="Y136" s="176" t="s">
        <v>828</v>
      </c>
      <c r="Z136" s="5"/>
    </row>
    <row r="137" spans="18:26">
      <c r="R137" s="40" t="s">
        <v>829</v>
      </c>
      <c r="S137" s="41">
        <v>3</v>
      </c>
      <c r="T137" s="41">
        <v>2</v>
      </c>
      <c r="U137" s="42">
        <v>1453</v>
      </c>
      <c r="V137" s="157">
        <v>156.80000000000001</v>
      </c>
      <c r="W137" s="43">
        <v>18</v>
      </c>
      <c r="Y137" s="174" t="s">
        <v>830</v>
      </c>
      <c r="Z137" s="5"/>
    </row>
    <row r="138" spans="18:26">
      <c r="R138" s="40" t="s">
        <v>829</v>
      </c>
      <c r="S138" s="41">
        <v>3</v>
      </c>
      <c r="T138" s="41">
        <v>3</v>
      </c>
      <c r="U138" s="42">
        <v>1453</v>
      </c>
      <c r="V138" s="157">
        <v>156.80000000000001</v>
      </c>
      <c r="W138" s="43">
        <v>18</v>
      </c>
      <c r="Y138" s="175" t="s">
        <v>831</v>
      </c>
      <c r="Z138" s="5"/>
    </row>
    <row r="139" spans="18:26">
      <c r="R139" s="40" t="s">
        <v>829</v>
      </c>
      <c r="S139" s="41">
        <v>3</v>
      </c>
      <c r="T139" s="41">
        <v>4</v>
      </c>
      <c r="U139" s="42">
        <v>1453</v>
      </c>
      <c r="V139" s="157">
        <v>156.80000000000001</v>
      </c>
      <c r="W139" s="43">
        <v>18</v>
      </c>
      <c r="Y139" s="177" t="s">
        <v>832</v>
      </c>
      <c r="Z139" s="5"/>
    </row>
    <row r="140" spans="18:26">
      <c r="R140" s="40" t="s">
        <v>833</v>
      </c>
      <c r="S140" s="41">
        <v>3</v>
      </c>
      <c r="T140" s="41">
        <v>2</v>
      </c>
      <c r="U140" s="42">
        <v>1453</v>
      </c>
      <c r="V140" s="157">
        <v>156.80000000000001</v>
      </c>
      <c r="W140" s="43">
        <v>34</v>
      </c>
      <c r="Y140" s="174" t="s">
        <v>834</v>
      </c>
      <c r="Z140" s="5"/>
    </row>
    <row r="141" spans="18:26">
      <c r="R141" s="40" t="s">
        <v>833</v>
      </c>
      <c r="S141" s="41">
        <v>3</v>
      </c>
      <c r="T141" s="41">
        <v>3</v>
      </c>
      <c r="U141" s="42">
        <v>1453</v>
      </c>
      <c r="V141" s="157">
        <v>156.80000000000001</v>
      </c>
      <c r="W141" s="43">
        <v>34</v>
      </c>
      <c r="Y141" s="175" t="s">
        <v>835</v>
      </c>
      <c r="Z141" s="5"/>
    </row>
    <row r="142" spans="18:26">
      <c r="R142" s="48" t="s">
        <v>833</v>
      </c>
      <c r="S142" s="49">
        <v>3</v>
      </c>
      <c r="T142" s="49">
        <v>4</v>
      </c>
      <c r="U142" s="50">
        <v>1453</v>
      </c>
      <c r="V142" s="157">
        <v>156.80000000000001</v>
      </c>
      <c r="W142" s="51">
        <v>34</v>
      </c>
      <c r="Y142" s="177" t="s">
        <v>836</v>
      </c>
      <c r="Z142" s="5"/>
    </row>
    <row r="143" spans="18:26">
      <c r="Y143" s="173"/>
      <c r="Z143" s="5"/>
    </row>
    <row r="144" spans="18:26">
      <c r="Y144" s="173"/>
      <c r="Z144" s="5"/>
    </row>
    <row r="145" spans="18:26">
      <c r="S145" s="52" t="s">
        <v>759</v>
      </c>
      <c r="Y145" s="173"/>
      <c r="Z145" s="5"/>
    </row>
    <row r="146" spans="18:26">
      <c r="R146" s="429" t="s">
        <v>490</v>
      </c>
      <c r="S146" s="430"/>
      <c r="T146" s="430"/>
      <c r="U146" s="430"/>
      <c r="V146" s="430"/>
      <c r="W146" s="431"/>
      <c r="Y146" s="171" t="s">
        <v>478</v>
      </c>
      <c r="Z146" s="5"/>
    </row>
    <row r="147" spans="18:26">
      <c r="R147" s="15" t="s">
        <v>497</v>
      </c>
      <c r="S147" s="16" t="s">
        <v>498</v>
      </c>
      <c r="T147" s="16" t="s">
        <v>483</v>
      </c>
      <c r="U147" s="16" t="s">
        <v>499</v>
      </c>
      <c r="V147" s="16" t="s">
        <v>500</v>
      </c>
      <c r="W147" s="17" t="s">
        <v>501</v>
      </c>
      <c r="Y147" s="172" t="s">
        <v>502</v>
      </c>
      <c r="Z147" s="5"/>
    </row>
    <row r="148" spans="18:26">
      <c r="R148" s="40" t="s">
        <v>837</v>
      </c>
      <c r="S148" s="41">
        <v>2</v>
      </c>
      <c r="T148" s="41">
        <v>2</v>
      </c>
      <c r="U148" s="42">
        <v>1356</v>
      </c>
      <c r="V148" s="157">
        <v>157.22</v>
      </c>
      <c r="W148" s="43">
        <v>40</v>
      </c>
      <c r="Y148" s="173" t="s">
        <v>838</v>
      </c>
      <c r="Z148" s="5"/>
    </row>
    <row r="149" spans="18:26">
      <c r="R149" s="40" t="s">
        <v>837</v>
      </c>
      <c r="S149" s="41">
        <v>2</v>
      </c>
      <c r="T149" s="41">
        <v>3</v>
      </c>
      <c r="U149" s="42">
        <v>1356</v>
      </c>
      <c r="V149" s="157">
        <v>157.22</v>
      </c>
      <c r="W149" s="43">
        <v>40</v>
      </c>
      <c r="Y149" s="173" t="s">
        <v>839</v>
      </c>
      <c r="Z149" s="5"/>
    </row>
    <row r="150" spans="18:26">
      <c r="R150" s="40" t="s">
        <v>837</v>
      </c>
      <c r="S150" s="41">
        <v>2</v>
      </c>
      <c r="T150" s="41">
        <v>4</v>
      </c>
      <c r="U150" s="42">
        <v>1356</v>
      </c>
      <c r="V150" s="157">
        <v>157.22</v>
      </c>
      <c r="W150" s="43">
        <v>40</v>
      </c>
      <c r="Y150" s="173" t="s">
        <v>840</v>
      </c>
      <c r="Z150" s="5"/>
    </row>
    <row r="151" spans="18:26">
      <c r="R151" s="40" t="s">
        <v>841</v>
      </c>
      <c r="S151" s="41">
        <v>4</v>
      </c>
      <c r="T151" s="41">
        <v>2</v>
      </c>
      <c r="U151" s="42">
        <v>1517</v>
      </c>
      <c r="V151" s="157">
        <v>156.76</v>
      </c>
      <c r="W151" s="43">
        <v>40</v>
      </c>
      <c r="Y151" s="173" t="s">
        <v>842</v>
      </c>
      <c r="Z151" s="5"/>
    </row>
    <row r="152" spans="18:26">
      <c r="R152" s="40" t="s">
        <v>841</v>
      </c>
      <c r="S152" s="41">
        <v>4</v>
      </c>
      <c r="T152" s="41">
        <v>3</v>
      </c>
      <c r="U152" s="42">
        <v>1517</v>
      </c>
      <c r="V152" s="157">
        <v>156.76</v>
      </c>
      <c r="W152" s="43">
        <v>40</v>
      </c>
      <c r="Y152" s="173" t="s">
        <v>843</v>
      </c>
      <c r="Z152" s="5"/>
    </row>
    <row r="153" spans="18:26">
      <c r="R153" s="40" t="s">
        <v>841</v>
      </c>
      <c r="S153" s="41">
        <v>4</v>
      </c>
      <c r="T153" s="41">
        <v>4</v>
      </c>
      <c r="U153" s="42">
        <v>1517</v>
      </c>
      <c r="V153" s="157">
        <v>156.76</v>
      </c>
      <c r="W153" s="43">
        <v>40</v>
      </c>
      <c r="Y153" s="173" t="s">
        <v>844</v>
      </c>
      <c r="Z153" s="5"/>
    </row>
    <row r="154" spans="18:26">
      <c r="R154" s="40" t="s">
        <v>845</v>
      </c>
      <c r="S154" s="41">
        <v>3</v>
      </c>
      <c r="T154" s="41">
        <v>2</v>
      </c>
      <c r="U154" s="42">
        <v>1477</v>
      </c>
      <c r="V154" s="157">
        <v>153.58000000000001</v>
      </c>
      <c r="W154" s="43">
        <v>40</v>
      </c>
      <c r="Y154" s="173" t="s">
        <v>846</v>
      </c>
      <c r="Z154" s="5"/>
    </row>
    <row r="155" spans="18:26">
      <c r="R155" s="40" t="s">
        <v>845</v>
      </c>
      <c r="S155" s="41">
        <v>3</v>
      </c>
      <c r="T155" s="41">
        <v>3</v>
      </c>
      <c r="U155" s="42">
        <v>1477</v>
      </c>
      <c r="V155" s="157">
        <v>153.58000000000001</v>
      </c>
      <c r="W155" s="43">
        <v>40</v>
      </c>
      <c r="Y155" s="173" t="s">
        <v>847</v>
      </c>
      <c r="Z155" s="5"/>
    </row>
    <row r="156" spans="18:26">
      <c r="R156" s="40" t="s">
        <v>845</v>
      </c>
      <c r="S156" s="41">
        <v>3</v>
      </c>
      <c r="T156" s="41">
        <v>4</v>
      </c>
      <c r="U156" s="42">
        <v>1477</v>
      </c>
      <c r="V156" s="157">
        <v>153.58000000000001</v>
      </c>
      <c r="W156" s="43">
        <v>40</v>
      </c>
      <c r="Y156" s="173" t="s">
        <v>848</v>
      </c>
      <c r="Z156" s="5"/>
    </row>
    <row r="157" spans="18:26">
      <c r="R157" s="40" t="s">
        <v>849</v>
      </c>
      <c r="S157" s="41">
        <v>4</v>
      </c>
      <c r="T157" s="41">
        <v>2</v>
      </c>
      <c r="U157" s="42">
        <v>1545</v>
      </c>
      <c r="V157" s="157">
        <v>156.76</v>
      </c>
      <c r="W157" s="43">
        <v>10</v>
      </c>
      <c r="Y157" s="173" t="s">
        <v>850</v>
      </c>
      <c r="Z157" s="5"/>
    </row>
    <row r="158" spans="18:26">
      <c r="R158" s="40" t="s">
        <v>849</v>
      </c>
      <c r="S158" s="41">
        <v>4</v>
      </c>
      <c r="T158" s="41">
        <v>3</v>
      </c>
      <c r="U158" s="42">
        <v>1545</v>
      </c>
      <c r="V158" s="157">
        <v>156.76</v>
      </c>
      <c r="W158" s="43">
        <v>10</v>
      </c>
      <c r="Y158" s="173" t="s">
        <v>851</v>
      </c>
      <c r="Z158" s="5"/>
    </row>
    <row r="159" spans="18:26">
      <c r="R159" s="40" t="s">
        <v>849</v>
      </c>
      <c r="S159" s="41">
        <v>4</v>
      </c>
      <c r="T159" s="41">
        <v>4</v>
      </c>
      <c r="U159" s="42">
        <v>1545</v>
      </c>
      <c r="V159" s="157">
        <v>156.76</v>
      </c>
      <c r="W159" s="43">
        <v>10</v>
      </c>
      <c r="Y159" s="173" t="s">
        <v>852</v>
      </c>
      <c r="Z159" s="5"/>
    </row>
    <row r="160" spans="18:26">
      <c r="R160" s="40" t="s">
        <v>853</v>
      </c>
      <c r="S160" s="41">
        <v>3</v>
      </c>
      <c r="T160" s="41">
        <v>2</v>
      </c>
      <c r="U160" s="42">
        <v>1400</v>
      </c>
      <c r="V160" s="157">
        <v>153.58000000000001</v>
      </c>
      <c r="W160" s="43">
        <v>30</v>
      </c>
      <c r="Y160" s="173" t="s">
        <v>854</v>
      </c>
      <c r="Z160" s="5"/>
    </row>
    <row r="161" spans="18:26">
      <c r="R161" s="40" t="s">
        <v>853</v>
      </c>
      <c r="S161" s="41">
        <v>3</v>
      </c>
      <c r="T161" s="41">
        <v>3</v>
      </c>
      <c r="U161" s="42">
        <v>1400</v>
      </c>
      <c r="V161" s="157">
        <v>153.58000000000001</v>
      </c>
      <c r="W161" s="43">
        <v>30</v>
      </c>
      <c r="Y161" s="173" t="s">
        <v>855</v>
      </c>
      <c r="Z161" s="5"/>
    </row>
    <row r="162" spans="18:26">
      <c r="R162" s="40" t="s">
        <v>853</v>
      </c>
      <c r="S162" s="41">
        <v>3</v>
      </c>
      <c r="T162" s="41">
        <v>4</v>
      </c>
      <c r="U162" s="42">
        <v>1400</v>
      </c>
      <c r="V162" s="157">
        <v>153.58000000000001</v>
      </c>
      <c r="W162" s="43">
        <v>30</v>
      </c>
      <c r="Y162" s="173" t="s">
        <v>856</v>
      </c>
      <c r="Z162" s="5"/>
    </row>
    <row r="163" spans="18:26">
      <c r="R163" s="40" t="s">
        <v>857</v>
      </c>
      <c r="S163" s="41">
        <v>2</v>
      </c>
      <c r="T163" s="41">
        <v>2</v>
      </c>
      <c r="U163" s="42">
        <v>1320</v>
      </c>
      <c r="V163" s="157">
        <v>157.22</v>
      </c>
      <c r="W163" s="43">
        <v>35</v>
      </c>
      <c r="Y163" s="173" t="s">
        <v>858</v>
      </c>
      <c r="Z163" s="5"/>
    </row>
    <row r="164" spans="18:26">
      <c r="R164" s="40" t="s">
        <v>857</v>
      </c>
      <c r="S164" s="41">
        <v>2</v>
      </c>
      <c r="T164" s="41">
        <v>3</v>
      </c>
      <c r="U164" s="42">
        <v>1320</v>
      </c>
      <c r="V164" s="157">
        <v>157.22</v>
      </c>
      <c r="W164" s="43">
        <v>35</v>
      </c>
      <c r="Y164" s="173" t="s">
        <v>859</v>
      </c>
      <c r="Z164" s="5"/>
    </row>
    <row r="165" spans="18:26">
      <c r="R165" s="48" t="s">
        <v>857</v>
      </c>
      <c r="S165" s="49">
        <v>2</v>
      </c>
      <c r="T165" s="49">
        <v>4</v>
      </c>
      <c r="U165" s="50">
        <v>1320</v>
      </c>
      <c r="V165" s="157">
        <v>157.22</v>
      </c>
      <c r="W165" s="51">
        <v>35</v>
      </c>
      <c r="Y165" s="173" t="s">
        <v>860</v>
      </c>
      <c r="Z165" s="5"/>
    </row>
    <row r="166" spans="18:26">
      <c r="Y166" s="173"/>
      <c r="Z166" s="5"/>
    </row>
    <row r="167" spans="18:26">
      <c r="Y167" s="173"/>
      <c r="Z167" s="5"/>
    </row>
    <row r="168" spans="18:26">
      <c r="S168" s="52" t="s">
        <v>761</v>
      </c>
      <c r="Y168" s="173"/>
      <c r="Z168" s="5"/>
    </row>
    <row r="169" spans="18:26">
      <c r="R169" s="429" t="s">
        <v>490</v>
      </c>
      <c r="S169" s="430"/>
      <c r="T169" s="430"/>
      <c r="U169" s="430"/>
      <c r="V169" s="430"/>
      <c r="W169" s="431"/>
      <c r="Y169" s="171" t="s">
        <v>478</v>
      </c>
      <c r="Z169" s="5"/>
    </row>
    <row r="170" spans="18:26">
      <c r="R170" s="15" t="s">
        <v>497</v>
      </c>
      <c r="S170" s="16" t="s">
        <v>498</v>
      </c>
      <c r="T170" s="16" t="s">
        <v>483</v>
      </c>
      <c r="U170" s="16" t="s">
        <v>499</v>
      </c>
      <c r="V170" s="16" t="s">
        <v>500</v>
      </c>
      <c r="W170" s="17" t="s">
        <v>501</v>
      </c>
      <c r="Y170" s="172" t="s">
        <v>502</v>
      </c>
      <c r="Z170" s="5"/>
    </row>
    <row r="171" spans="18:26">
      <c r="R171" s="40" t="s">
        <v>861</v>
      </c>
      <c r="S171" s="41">
        <v>2</v>
      </c>
      <c r="T171" s="41">
        <v>2</v>
      </c>
      <c r="U171" s="42">
        <v>1356</v>
      </c>
      <c r="V171" s="157">
        <v>132.5</v>
      </c>
      <c r="W171" s="43">
        <v>40</v>
      </c>
      <c r="Y171" s="173" t="s">
        <v>862</v>
      </c>
      <c r="Z171" s="5"/>
    </row>
    <row r="172" spans="18:26">
      <c r="R172" s="40" t="s">
        <v>861</v>
      </c>
      <c r="S172" s="41">
        <v>2</v>
      </c>
      <c r="T172" s="41">
        <v>3</v>
      </c>
      <c r="U172" s="42">
        <v>1356</v>
      </c>
      <c r="V172" s="157">
        <v>132.5</v>
      </c>
      <c r="W172" s="43">
        <v>40</v>
      </c>
      <c r="Y172" s="173" t="s">
        <v>863</v>
      </c>
      <c r="Z172" s="5"/>
    </row>
    <row r="173" spans="18:26">
      <c r="R173" s="40" t="s">
        <v>861</v>
      </c>
      <c r="S173" s="41">
        <v>2</v>
      </c>
      <c r="T173" s="41">
        <v>4</v>
      </c>
      <c r="U173" s="42">
        <v>1356</v>
      </c>
      <c r="V173" s="157">
        <v>132.5</v>
      </c>
      <c r="W173" s="43">
        <v>40</v>
      </c>
      <c r="Y173" s="173" t="s">
        <v>864</v>
      </c>
      <c r="Z173" s="5"/>
    </row>
    <row r="174" spans="18:26">
      <c r="R174" s="40" t="s">
        <v>865</v>
      </c>
      <c r="S174" s="41">
        <v>4</v>
      </c>
      <c r="T174" s="41">
        <v>2</v>
      </c>
      <c r="U174" s="42">
        <v>1517</v>
      </c>
      <c r="V174" s="157">
        <v>128.26</v>
      </c>
      <c r="W174" s="43">
        <v>40</v>
      </c>
      <c r="Y174" s="173" t="s">
        <v>866</v>
      </c>
      <c r="Z174" s="5"/>
    </row>
    <row r="175" spans="18:26">
      <c r="R175" s="40" t="s">
        <v>865</v>
      </c>
      <c r="S175" s="41">
        <v>4</v>
      </c>
      <c r="T175" s="41">
        <v>3</v>
      </c>
      <c r="U175" s="42">
        <v>1517</v>
      </c>
      <c r="V175" s="157">
        <v>128.26</v>
      </c>
      <c r="W175" s="43">
        <v>40</v>
      </c>
      <c r="Y175" s="173" t="s">
        <v>867</v>
      </c>
      <c r="Z175" s="5"/>
    </row>
    <row r="176" spans="18:26">
      <c r="R176" s="40" t="s">
        <v>865</v>
      </c>
      <c r="S176" s="41">
        <v>4</v>
      </c>
      <c r="T176" s="41">
        <v>4</v>
      </c>
      <c r="U176" s="42">
        <v>1517</v>
      </c>
      <c r="V176" s="157">
        <v>128.26</v>
      </c>
      <c r="W176" s="43">
        <v>40</v>
      </c>
      <c r="Y176" s="173" t="s">
        <v>868</v>
      </c>
      <c r="Z176" s="5"/>
    </row>
    <row r="177" spans="18:26">
      <c r="R177" s="40" t="s">
        <v>869</v>
      </c>
      <c r="S177" s="41">
        <v>3</v>
      </c>
      <c r="T177" s="41">
        <v>2</v>
      </c>
      <c r="U177" s="42">
        <v>1477</v>
      </c>
      <c r="V177" s="157">
        <v>130.38</v>
      </c>
      <c r="W177" s="43">
        <v>40</v>
      </c>
      <c r="Y177" s="173" t="s">
        <v>870</v>
      </c>
      <c r="Z177" s="5"/>
    </row>
    <row r="178" spans="18:26">
      <c r="R178" s="40" t="s">
        <v>869</v>
      </c>
      <c r="S178" s="41">
        <v>3</v>
      </c>
      <c r="T178" s="41">
        <v>3</v>
      </c>
      <c r="U178" s="42">
        <v>1477</v>
      </c>
      <c r="V178" s="157">
        <v>130.38</v>
      </c>
      <c r="W178" s="43">
        <v>40</v>
      </c>
      <c r="Y178" s="173" t="s">
        <v>871</v>
      </c>
      <c r="Z178" s="5"/>
    </row>
    <row r="179" spans="18:26">
      <c r="R179" s="40" t="s">
        <v>869</v>
      </c>
      <c r="S179" s="41">
        <v>3</v>
      </c>
      <c r="T179" s="41">
        <v>4</v>
      </c>
      <c r="U179" s="42">
        <v>1477</v>
      </c>
      <c r="V179" s="157">
        <v>130.38</v>
      </c>
      <c r="W179" s="43">
        <v>40</v>
      </c>
      <c r="Y179" s="173" t="s">
        <v>872</v>
      </c>
      <c r="Z179" s="5"/>
    </row>
    <row r="180" spans="18:26">
      <c r="R180" s="40" t="s">
        <v>873</v>
      </c>
      <c r="S180" s="41">
        <v>4</v>
      </c>
      <c r="T180" s="41">
        <v>2</v>
      </c>
      <c r="U180" s="42">
        <v>1545</v>
      </c>
      <c r="V180" s="157">
        <v>128.26</v>
      </c>
      <c r="W180" s="43">
        <v>10</v>
      </c>
      <c r="Y180" s="173" t="s">
        <v>874</v>
      </c>
      <c r="Z180" s="5"/>
    </row>
    <row r="181" spans="18:26">
      <c r="R181" s="40" t="s">
        <v>873</v>
      </c>
      <c r="S181" s="41">
        <v>4</v>
      </c>
      <c r="T181" s="41">
        <v>3</v>
      </c>
      <c r="U181" s="42">
        <v>1545</v>
      </c>
      <c r="V181" s="157">
        <v>128.26</v>
      </c>
      <c r="W181" s="43">
        <v>10</v>
      </c>
      <c r="Y181" s="173" t="s">
        <v>875</v>
      </c>
      <c r="Z181" s="5"/>
    </row>
    <row r="182" spans="18:26">
      <c r="R182" s="40" t="s">
        <v>873</v>
      </c>
      <c r="S182" s="41">
        <v>4</v>
      </c>
      <c r="T182" s="41">
        <v>4</v>
      </c>
      <c r="U182" s="42">
        <v>1545</v>
      </c>
      <c r="V182" s="157">
        <v>128.26</v>
      </c>
      <c r="W182" s="43">
        <v>10</v>
      </c>
      <c r="Y182" s="173" t="s">
        <v>876</v>
      </c>
      <c r="Z182" s="5"/>
    </row>
    <row r="183" spans="18:26">
      <c r="R183" s="40" t="s">
        <v>877</v>
      </c>
      <c r="S183" s="41">
        <v>3</v>
      </c>
      <c r="T183" s="41">
        <v>2</v>
      </c>
      <c r="U183" s="42">
        <v>1400</v>
      </c>
      <c r="V183" s="157">
        <v>130.38</v>
      </c>
      <c r="W183" s="43">
        <v>30</v>
      </c>
      <c r="Y183" s="173" t="s">
        <v>878</v>
      </c>
      <c r="Z183" s="5"/>
    </row>
    <row r="184" spans="18:26">
      <c r="R184" s="40" t="s">
        <v>877</v>
      </c>
      <c r="S184" s="41">
        <v>3</v>
      </c>
      <c r="T184" s="41">
        <v>3</v>
      </c>
      <c r="U184" s="42">
        <v>1400</v>
      </c>
      <c r="V184" s="157">
        <v>130.38</v>
      </c>
      <c r="W184" s="43">
        <v>30</v>
      </c>
      <c r="Y184" s="173" t="s">
        <v>879</v>
      </c>
      <c r="Z184" s="5"/>
    </row>
    <row r="185" spans="18:26">
      <c r="R185" s="40" t="s">
        <v>877</v>
      </c>
      <c r="S185" s="41">
        <v>3</v>
      </c>
      <c r="T185" s="41">
        <v>4</v>
      </c>
      <c r="U185" s="42">
        <v>1400</v>
      </c>
      <c r="V185" s="157">
        <v>130.38</v>
      </c>
      <c r="W185" s="43">
        <v>30</v>
      </c>
      <c r="Y185" s="173" t="s">
        <v>880</v>
      </c>
      <c r="Z185" s="5"/>
    </row>
    <row r="186" spans="18:26">
      <c r="R186" s="40" t="s">
        <v>881</v>
      </c>
      <c r="S186" s="41">
        <v>2</v>
      </c>
      <c r="T186" s="41">
        <v>2</v>
      </c>
      <c r="U186" s="42">
        <v>1320</v>
      </c>
      <c r="V186" s="157">
        <v>132.5</v>
      </c>
      <c r="W186" s="43">
        <v>35</v>
      </c>
      <c r="Y186" s="173" t="s">
        <v>882</v>
      </c>
      <c r="Z186" s="5"/>
    </row>
    <row r="187" spans="18:26">
      <c r="R187" s="40" t="s">
        <v>881</v>
      </c>
      <c r="S187" s="41">
        <v>2</v>
      </c>
      <c r="T187" s="41">
        <v>3</v>
      </c>
      <c r="U187" s="42">
        <v>1320</v>
      </c>
      <c r="V187" s="157">
        <v>132.5</v>
      </c>
      <c r="W187" s="43">
        <v>35</v>
      </c>
      <c r="Y187" s="173" t="s">
        <v>883</v>
      </c>
      <c r="Z187" s="5"/>
    </row>
    <row r="188" spans="18:26">
      <c r="R188" s="48" t="s">
        <v>881</v>
      </c>
      <c r="S188" s="49">
        <v>2</v>
      </c>
      <c r="T188" s="49">
        <v>4</v>
      </c>
      <c r="U188" s="50">
        <v>1320</v>
      </c>
      <c r="V188" s="157">
        <v>132.5</v>
      </c>
      <c r="W188" s="51">
        <v>35</v>
      </c>
      <c r="Y188" s="173" t="s">
        <v>884</v>
      </c>
      <c r="Z188" s="5"/>
    </row>
    <row r="189" spans="18:26">
      <c r="Y189" s="173"/>
      <c r="Z189" s="5"/>
    </row>
    <row r="190" spans="18:26">
      <c r="Y190" s="173"/>
      <c r="Z190" s="5"/>
    </row>
    <row r="191" spans="18:26">
      <c r="S191" s="52" t="s">
        <v>507</v>
      </c>
      <c r="Y191" s="173"/>
      <c r="Z191" s="5"/>
    </row>
    <row r="192" spans="18:26">
      <c r="R192" s="429" t="s">
        <v>490</v>
      </c>
      <c r="S192" s="430"/>
      <c r="T192" s="430"/>
      <c r="U192" s="430"/>
      <c r="V192" s="430"/>
      <c r="W192" s="431"/>
      <c r="Y192" s="171" t="s">
        <v>478</v>
      </c>
      <c r="Z192" s="5"/>
    </row>
    <row r="193" spans="18:26">
      <c r="R193" s="16" t="s">
        <v>497</v>
      </c>
      <c r="S193" s="16" t="s">
        <v>498</v>
      </c>
      <c r="T193" s="16" t="s">
        <v>483</v>
      </c>
      <c r="U193" s="16" t="s">
        <v>499</v>
      </c>
      <c r="V193" s="16" t="s">
        <v>500</v>
      </c>
      <c r="W193" s="17" t="s">
        <v>501</v>
      </c>
      <c r="Y193" s="172" t="s">
        <v>502</v>
      </c>
      <c r="Z193" s="5"/>
    </row>
    <row r="194" spans="18:26">
      <c r="R194" s="41" t="s">
        <v>508</v>
      </c>
      <c r="S194" s="41">
        <v>2</v>
      </c>
      <c r="T194" s="41">
        <v>2</v>
      </c>
      <c r="U194" s="42">
        <v>1356</v>
      </c>
      <c r="V194" s="41">
        <v>139.69</v>
      </c>
      <c r="W194" s="43">
        <v>40</v>
      </c>
      <c r="Y194" s="173" t="s">
        <v>509</v>
      </c>
      <c r="Z194" s="5"/>
    </row>
    <row r="195" spans="18:26">
      <c r="R195" s="41" t="s">
        <v>508</v>
      </c>
      <c r="S195" s="41">
        <v>2</v>
      </c>
      <c r="T195" s="41">
        <v>3</v>
      </c>
      <c r="U195" s="42">
        <v>1356</v>
      </c>
      <c r="V195" s="41">
        <v>140.16999999999999</v>
      </c>
      <c r="W195" s="43">
        <v>40</v>
      </c>
      <c r="Y195" s="173" t="s">
        <v>514</v>
      </c>
      <c r="Z195" s="5"/>
    </row>
    <row r="196" spans="18:26">
      <c r="R196" s="41" t="s">
        <v>508</v>
      </c>
      <c r="S196" s="41">
        <v>2</v>
      </c>
      <c r="T196" s="41">
        <v>4</v>
      </c>
      <c r="U196" s="42">
        <v>1356</v>
      </c>
      <c r="V196" s="41">
        <v>139.15</v>
      </c>
      <c r="W196" s="43">
        <v>40</v>
      </c>
      <c r="Y196" s="173" t="s">
        <v>518</v>
      </c>
      <c r="Z196" s="5"/>
    </row>
    <row r="197" spans="18:26">
      <c r="R197" s="41" t="s">
        <v>524</v>
      </c>
      <c r="S197" s="41">
        <v>4</v>
      </c>
      <c r="T197" s="41">
        <v>2</v>
      </c>
      <c r="U197" s="42">
        <v>1517</v>
      </c>
      <c r="V197" s="41">
        <v>135.41</v>
      </c>
      <c r="W197" s="43">
        <v>40</v>
      </c>
      <c r="Y197" s="173" t="s">
        <v>525</v>
      </c>
      <c r="Z197" s="5"/>
    </row>
    <row r="198" spans="18:26">
      <c r="R198" s="41" t="s">
        <v>524</v>
      </c>
      <c r="S198" s="41">
        <v>4</v>
      </c>
      <c r="T198" s="41">
        <v>3</v>
      </c>
      <c r="U198" s="42">
        <v>1517</v>
      </c>
      <c r="V198" s="157">
        <v>138.6</v>
      </c>
      <c r="W198" s="43">
        <v>40</v>
      </c>
      <c r="Y198" s="173" t="s">
        <v>529</v>
      </c>
      <c r="Z198" s="5"/>
    </row>
    <row r="199" spans="18:26">
      <c r="R199" s="41" t="s">
        <v>524</v>
      </c>
      <c r="S199" s="41">
        <v>4</v>
      </c>
      <c r="T199" s="41">
        <v>4</v>
      </c>
      <c r="U199" s="42">
        <v>1517</v>
      </c>
      <c r="V199" s="41">
        <v>135.63</v>
      </c>
      <c r="W199" s="43">
        <v>40</v>
      </c>
      <c r="Y199" s="173" t="s">
        <v>533</v>
      </c>
      <c r="Z199" s="5"/>
    </row>
    <row r="200" spans="18:26">
      <c r="R200" s="41" t="s">
        <v>538</v>
      </c>
      <c r="S200" s="41">
        <v>2</v>
      </c>
      <c r="T200" s="41">
        <v>2</v>
      </c>
      <c r="U200" s="42">
        <v>1231</v>
      </c>
      <c r="V200" s="41">
        <v>139.69</v>
      </c>
      <c r="W200" s="43">
        <v>30</v>
      </c>
      <c r="Y200" s="173" t="s">
        <v>539</v>
      </c>
      <c r="Z200" s="5"/>
    </row>
    <row r="201" spans="18:26">
      <c r="R201" s="41" t="s">
        <v>538</v>
      </c>
      <c r="S201" s="41">
        <v>2</v>
      </c>
      <c r="T201" s="41">
        <v>3</v>
      </c>
      <c r="U201" s="42">
        <v>1231</v>
      </c>
      <c r="V201" s="41">
        <v>140.16999999999999</v>
      </c>
      <c r="W201" s="43">
        <v>30</v>
      </c>
      <c r="Y201" s="173" t="s">
        <v>544</v>
      </c>
      <c r="Z201" s="5"/>
    </row>
    <row r="202" spans="18:26">
      <c r="R202" s="41" t="s">
        <v>538</v>
      </c>
      <c r="S202" s="41">
        <v>2</v>
      </c>
      <c r="T202" s="41">
        <v>4</v>
      </c>
      <c r="U202" s="42">
        <v>1231</v>
      </c>
      <c r="V202" s="41">
        <v>139.15</v>
      </c>
      <c r="W202" s="43">
        <v>30</v>
      </c>
      <c r="Y202" s="173" t="s">
        <v>549</v>
      </c>
      <c r="Z202" s="5"/>
    </row>
    <row r="203" spans="18:26">
      <c r="R203" s="41" t="s">
        <v>555</v>
      </c>
      <c r="S203" s="41">
        <v>2</v>
      </c>
      <c r="T203" s="41">
        <v>2</v>
      </c>
      <c r="U203" s="42">
        <v>1284</v>
      </c>
      <c r="V203" s="41">
        <v>139.69</v>
      </c>
      <c r="W203" s="43">
        <v>10</v>
      </c>
      <c r="Y203" s="173" t="s">
        <v>556</v>
      </c>
      <c r="Z203" s="5"/>
    </row>
    <row r="204" spans="18:26">
      <c r="R204" s="41" t="s">
        <v>555</v>
      </c>
      <c r="S204" s="41">
        <v>2</v>
      </c>
      <c r="T204" s="41">
        <v>3</v>
      </c>
      <c r="U204" s="42">
        <v>1284</v>
      </c>
      <c r="V204" s="41">
        <v>140.16999999999999</v>
      </c>
      <c r="W204" s="43">
        <v>10</v>
      </c>
      <c r="Y204" s="173" t="s">
        <v>561</v>
      </c>
      <c r="Z204" s="5"/>
    </row>
    <row r="205" spans="18:26">
      <c r="R205" s="41" t="s">
        <v>555</v>
      </c>
      <c r="S205" s="41">
        <v>2</v>
      </c>
      <c r="T205" s="41">
        <v>4</v>
      </c>
      <c r="U205" s="42">
        <v>1284</v>
      </c>
      <c r="V205" s="41">
        <v>139.15</v>
      </c>
      <c r="W205" s="43">
        <v>10</v>
      </c>
      <c r="Y205" s="173" t="s">
        <v>566</v>
      </c>
      <c r="Z205" s="5"/>
    </row>
    <row r="206" spans="18:26">
      <c r="R206" s="41" t="s">
        <v>570</v>
      </c>
      <c r="S206" s="41">
        <v>3</v>
      </c>
      <c r="T206" s="41">
        <v>2</v>
      </c>
      <c r="U206" s="42">
        <v>1477</v>
      </c>
      <c r="V206" s="41">
        <v>137.41999999999999</v>
      </c>
      <c r="W206" s="43">
        <v>40</v>
      </c>
      <c r="Y206" s="173" t="s">
        <v>571</v>
      </c>
      <c r="Z206" s="5"/>
    </row>
    <row r="207" spans="18:26">
      <c r="R207" s="41" t="s">
        <v>570</v>
      </c>
      <c r="S207" s="41">
        <v>3</v>
      </c>
      <c r="T207" s="41">
        <v>3</v>
      </c>
      <c r="U207" s="42">
        <v>1477</v>
      </c>
      <c r="V207" s="41">
        <v>139.79</v>
      </c>
      <c r="W207" s="43">
        <v>40</v>
      </c>
      <c r="Y207" s="173" t="s">
        <v>576</v>
      </c>
      <c r="Z207" s="5"/>
    </row>
    <row r="208" spans="18:26">
      <c r="R208" s="41" t="s">
        <v>570</v>
      </c>
      <c r="S208" s="41">
        <v>3</v>
      </c>
      <c r="T208" s="41">
        <v>4</v>
      </c>
      <c r="U208" s="42">
        <v>1477</v>
      </c>
      <c r="V208" s="41">
        <v>137.97</v>
      </c>
      <c r="W208" s="43">
        <v>40</v>
      </c>
      <c r="Y208" s="173" t="s">
        <v>580</v>
      </c>
      <c r="Z208" s="5"/>
    </row>
    <row r="209" spans="18:26">
      <c r="R209" s="41" t="s">
        <v>585</v>
      </c>
      <c r="S209" s="41">
        <v>6</v>
      </c>
      <c r="T209" s="41">
        <v>2</v>
      </c>
      <c r="U209" s="42">
        <v>1842</v>
      </c>
      <c r="V209" s="41">
        <v>135.41</v>
      </c>
      <c r="W209" s="43">
        <v>20</v>
      </c>
      <c r="Y209" s="173" t="s">
        <v>586</v>
      </c>
      <c r="Z209" s="5"/>
    </row>
    <row r="210" spans="18:26">
      <c r="R210" s="41" t="s">
        <v>585</v>
      </c>
      <c r="S210" s="41">
        <v>6</v>
      </c>
      <c r="T210" s="41">
        <v>3</v>
      </c>
      <c r="U210" s="42">
        <v>1842</v>
      </c>
      <c r="V210" s="157">
        <v>138.6</v>
      </c>
      <c r="W210" s="43">
        <v>20</v>
      </c>
      <c r="Y210" s="173" t="s">
        <v>589</v>
      </c>
      <c r="Z210" s="5"/>
    </row>
    <row r="211" spans="18:26">
      <c r="R211" s="41" t="s">
        <v>585</v>
      </c>
      <c r="S211" s="41">
        <v>6</v>
      </c>
      <c r="T211" s="41">
        <v>4</v>
      </c>
      <c r="U211" s="42">
        <v>1842</v>
      </c>
      <c r="V211" s="41">
        <v>135.63</v>
      </c>
      <c r="W211" s="43">
        <v>20</v>
      </c>
      <c r="Y211" s="173" t="s">
        <v>592</v>
      </c>
      <c r="Z211" s="5"/>
    </row>
    <row r="212" spans="18:26">
      <c r="R212" s="41" t="s">
        <v>595</v>
      </c>
      <c r="S212" s="41">
        <v>3</v>
      </c>
      <c r="T212" s="41">
        <v>2</v>
      </c>
      <c r="U212" s="42">
        <v>1396</v>
      </c>
      <c r="V212" s="41">
        <v>137.41999999999999</v>
      </c>
      <c r="W212" s="43">
        <v>30</v>
      </c>
      <c r="Y212" s="173" t="s">
        <v>596</v>
      </c>
      <c r="Z212" s="5"/>
    </row>
    <row r="213" spans="18:26">
      <c r="R213" s="41" t="s">
        <v>595</v>
      </c>
      <c r="S213" s="41">
        <v>3</v>
      </c>
      <c r="T213" s="41">
        <v>3</v>
      </c>
      <c r="U213" s="42">
        <v>1396</v>
      </c>
      <c r="V213" s="41">
        <v>139.79</v>
      </c>
      <c r="W213" s="43">
        <v>30</v>
      </c>
      <c r="Y213" s="173" t="s">
        <v>599</v>
      </c>
      <c r="Z213" s="5"/>
    </row>
    <row r="214" spans="18:26">
      <c r="R214" s="41" t="s">
        <v>595</v>
      </c>
      <c r="S214" s="41">
        <v>3</v>
      </c>
      <c r="T214" s="41">
        <v>4</v>
      </c>
      <c r="U214" s="42">
        <v>1396</v>
      </c>
      <c r="V214" s="41">
        <v>137.97</v>
      </c>
      <c r="W214" s="43">
        <v>30</v>
      </c>
      <c r="Y214" s="173" t="s">
        <v>603</v>
      </c>
      <c r="Z214" s="5"/>
    </row>
    <row r="215" spans="18:26">
      <c r="R215" s="41" t="s">
        <v>606</v>
      </c>
      <c r="S215" s="41">
        <v>5</v>
      </c>
      <c r="T215" s="41">
        <v>2</v>
      </c>
      <c r="U215" s="42">
        <v>1703</v>
      </c>
      <c r="V215" s="41">
        <v>135.41</v>
      </c>
      <c r="W215" s="43">
        <v>40</v>
      </c>
      <c r="Y215" s="173" t="s">
        <v>607</v>
      </c>
      <c r="Z215" s="5"/>
    </row>
    <row r="216" spans="18:26">
      <c r="R216" s="41" t="s">
        <v>606</v>
      </c>
      <c r="S216" s="41">
        <v>5</v>
      </c>
      <c r="T216" s="41">
        <v>3</v>
      </c>
      <c r="U216" s="42">
        <v>1703</v>
      </c>
      <c r="V216" s="157">
        <v>138.6</v>
      </c>
      <c r="W216" s="43">
        <v>40</v>
      </c>
      <c r="Y216" s="173" t="s">
        <v>610</v>
      </c>
      <c r="Z216" s="5"/>
    </row>
    <row r="217" spans="18:26">
      <c r="R217" s="41" t="s">
        <v>606</v>
      </c>
      <c r="S217" s="41">
        <v>5</v>
      </c>
      <c r="T217" s="41">
        <v>4</v>
      </c>
      <c r="U217" s="42">
        <v>1703</v>
      </c>
      <c r="V217" s="41">
        <v>135.63</v>
      </c>
      <c r="W217" s="43">
        <v>40</v>
      </c>
      <c r="Y217" s="173" t="s">
        <v>613</v>
      </c>
      <c r="Z217" s="5"/>
    </row>
    <row r="218" spans="18:26">
      <c r="R218" s="41" t="s">
        <v>616</v>
      </c>
      <c r="S218" s="41">
        <v>2</v>
      </c>
      <c r="T218" s="41">
        <v>2</v>
      </c>
      <c r="U218" s="42">
        <v>1144</v>
      </c>
      <c r="V218" s="41">
        <v>139.69</v>
      </c>
      <c r="W218" s="43">
        <v>10</v>
      </c>
      <c r="Y218" s="173" t="s">
        <v>617</v>
      </c>
      <c r="Z218" s="5"/>
    </row>
    <row r="219" spans="18:26">
      <c r="R219" s="41" t="s">
        <v>616</v>
      </c>
      <c r="S219" s="41">
        <v>2</v>
      </c>
      <c r="T219" s="41">
        <v>3</v>
      </c>
      <c r="U219" s="42">
        <v>1144</v>
      </c>
      <c r="V219" s="41">
        <v>140.16999999999999</v>
      </c>
      <c r="W219" s="43">
        <v>10</v>
      </c>
      <c r="Y219" s="173" t="s">
        <v>621</v>
      </c>
      <c r="Z219" s="5"/>
    </row>
    <row r="220" spans="18:26">
      <c r="R220" s="41" t="s">
        <v>616</v>
      </c>
      <c r="S220" s="41">
        <v>2</v>
      </c>
      <c r="T220" s="41">
        <v>4</v>
      </c>
      <c r="U220" s="42">
        <v>1144</v>
      </c>
      <c r="V220" s="41">
        <v>139.15</v>
      </c>
      <c r="W220" s="43">
        <v>10</v>
      </c>
      <c r="Y220" s="173" t="s">
        <v>624</v>
      </c>
      <c r="Z220" s="5"/>
    </row>
    <row r="221" spans="18:26">
      <c r="R221" s="41" t="s">
        <v>627</v>
      </c>
      <c r="S221" s="41">
        <v>4</v>
      </c>
      <c r="T221" s="41">
        <v>2</v>
      </c>
      <c r="U221" s="42">
        <v>1545</v>
      </c>
      <c r="V221" s="41">
        <v>135.41</v>
      </c>
      <c r="W221" s="43">
        <v>10</v>
      </c>
      <c r="Y221" s="173" t="s">
        <v>628</v>
      </c>
      <c r="Z221" s="5"/>
    </row>
    <row r="222" spans="18:26">
      <c r="R222" s="41" t="s">
        <v>627</v>
      </c>
      <c r="S222" s="41">
        <v>4</v>
      </c>
      <c r="T222" s="41">
        <v>3</v>
      </c>
      <c r="U222" s="42">
        <v>1545</v>
      </c>
      <c r="V222" s="157">
        <v>138.6</v>
      </c>
      <c r="W222" s="43">
        <v>10</v>
      </c>
      <c r="Y222" s="173" t="s">
        <v>631</v>
      </c>
      <c r="Z222" s="5"/>
    </row>
    <row r="223" spans="18:26">
      <c r="R223" s="41" t="s">
        <v>627</v>
      </c>
      <c r="S223" s="41">
        <v>4</v>
      </c>
      <c r="T223" s="41">
        <v>4</v>
      </c>
      <c r="U223" s="42">
        <v>1545</v>
      </c>
      <c r="V223" s="41">
        <v>135.63</v>
      </c>
      <c r="W223" s="43">
        <v>10</v>
      </c>
      <c r="Y223" s="173" t="s">
        <v>634</v>
      </c>
      <c r="Z223" s="5"/>
    </row>
    <row r="224" spans="18:26">
      <c r="R224" s="41" t="s">
        <v>636</v>
      </c>
      <c r="S224" s="41">
        <v>3</v>
      </c>
      <c r="T224" s="41">
        <v>2</v>
      </c>
      <c r="U224" s="42">
        <v>1400</v>
      </c>
      <c r="V224" s="41">
        <v>137.41999999999999</v>
      </c>
      <c r="W224" s="43">
        <v>30</v>
      </c>
      <c r="Y224" s="173" t="s">
        <v>637</v>
      </c>
      <c r="Z224" s="5"/>
    </row>
    <row r="225" spans="18:26">
      <c r="R225" s="41" t="s">
        <v>636</v>
      </c>
      <c r="S225" s="41">
        <v>3</v>
      </c>
      <c r="T225" s="41">
        <v>3</v>
      </c>
      <c r="U225" s="42">
        <v>1400</v>
      </c>
      <c r="V225" s="41">
        <v>139.79</v>
      </c>
      <c r="W225" s="43">
        <v>30</v>
      </c>
      <c r="Y225" s="173" t="s">
        <v>640</v>
      </c>
      <c r="Z225" s="5"/>
    </row>
    <row r="226" spans="18:26">
      <c r="R226" s="41" t="s">
        <v>636</v>
      </c>
      <c r="S226" s="41">
        <v>3</v>
      </c>
      <c r="T226" s="41">
        <v>4</v>
      </c>
      <c r="U226" s="42">
        <v>1400</v>
      </c>
      <c r="V226" s="41">
        <v>137.97</v>
      </c>
      <c r="W226" s="43">
        <v>30</v>
      </c>
      <c r="Y226" s="173" t="s">
        <v>642</v>
      </c>
      <c r="Z226" s="5"/>
    </row>
    <row r="227" spans="18:26">
      <c r="R227" s="41" t="s">
        <v>644</v>
      </c>
      <c r="S227" s="41">
        <v>2</v>
      </c>
      <c r="T227" s="41">
        <v>2</v>
      </c>
      <c r="U227" s="42">
        <v>1143</v>
      </c>
      <c r="V227" s="41">
        <v>139.69</v>
      </c>
      <c r="W227" s="43">
        <v>10</v>
      </c>
      <c r="Y227" s="173" t="s">
        <v>645</v>
      </c>
      <c r="Z227" s="5"/>
    </row>
    <row r="228" spans="18:26">
      <c r="R228" s="41" t="s">
        <v>644</v>
      </c>
      <c r="S228" s="41">
        <v>2</v>
      </c>
      <c r="T228" s="41">
        <v>3</v>
      </c>
      <c r="U228" s="42">
        <v>1143</v>
      </c>
      <c r="V228" s="41">
        <v>140.16999999999999</v>
      </c>
      <c r="W228" s="43">
        <v>10</v>
      </c>
      <c r="Y228" s="173" t="s">
        <v>648</v>
      </c>
      <c r="Z228" s="5"/>
    </row>
    <row r="229" spans="18:26">
      <c r="R229" s="41" t="s">
        <v>644</v>
      </c>
      <c r="S229" s="41">
        <v>2</v>
      </c>
      <c r="T229" s="41">
        <v>4</v>
      </c>
      <c r="U229" s="42">
        <v>1143</v>
      </c>
      <c r="V229" s="41">
        <v>139.15</v>
      </c>
      <c r="W229" s="43">
        <v>10</v>
      </c>
      <c r="Y229" s="173" t="s">
        <v>651</v>
      </c>
      <c r="Z229" s="5"/>
    </row>
    <row r="230" spans="18:26">
      <c r="R230" s="41" t="s">
        <v>654</v>
      </c>
      <c r="S230" s="41">
        <v>2</v>
      </c>
      <c r="T230" s="41">
        <v>2</v>
      </c>
      <c r="U230" s="42">
        <v>1320</v>
      </c>
      <c r="V230" s="41">
        <v>139.69</v>
      </c>
      <c r="W230" s="43">
        <v>35</v>
      </c>
      <c r="Y230" s="173" t="s">
        <v>655</v>
      </c>
      <c r="Z230" s="5"/>
    </row>
    <row r="231" spans="18:26">
      <c r="R231" s="41" t="s">
        <v>654</v>
      </c>
      <c r="S231" s="41">
        <v>2</v>
      </c>
      <c r="T231" s="41">
        <v>3</v>
      </c>
      <c r="U231" s="42">
        <v>1320</v>
      </c>
      <c r="V231" s="41">
        <v>140.16999999999999</v>
      </c>
      <c r="W231" s="43">
        <v>35</v>
      </c>
      <c r="Y231" s="173" t="s">
        <v>658</v>
      </c>
      <c r="Z231" s="5"/>
    </row>
    <row r="232" spans="18:26">
      <c r="R232" s="41" t="s">
        <v>654</v>
      </c>
      <c r="S232" s="41">
        <v>2</v>
      </c>
      <c r="T232" s="41">
        <v>4</v>
      </c>
      <c r="U232" s="42">
        <v>1320</v>
      </c>
      <c r="V232" s="41">
        <v>139.15</v>
      </c>
      <c r="W232" s="43">
        <v>35</v>
      </c>
      <c r="Y232" s="173" t="s">
        <v>661</v>
      </c>
      <c r="Z232" s="5"/>
    </row>
    <row r="233" spans="18:26">
      <c r="Y233" s="173"/>
      <c r="Z233" s="5"/>
    </row>
    <row r="234" spans="18:26">
      <c r="S234" s="52" t="s">
        <v>516</v>
      </c>
      <c r="Y234" s="173"/>
      <c r="Z234" s="5"/>
    </row>
    <row r="235" spans="18:26">
      <c r="R235" s="429" t="s">
        <v>490</v>
      </c>
      <c r="S235" s="430"/>
      <c r="T235" s="430"/>
      <c r="U235" s="430"/>
      <c r="V235" s="430"/>
      <c r="W235" s="431"/>
      <c r="Y235" s="171" t="s">
        <v>478</v>
      </c>
      <c r="Z235" s="5"/>
    </row>
    <row r="236" spans="18:26">
      <c r="R236" s="16" t="s">
        <v>497</v>
      </c>
      <c r="S236" s="16" t="s">
        <v>498</v>
      </c>
      <c r="T236" s="16" t="s">
        <v>483</v>
      </c>
      <c r="U236" s="16" t="s">
        <v>499</v>
      </c>
      <c r="V236" s="16" t="s">
        <v>500</v>
      </c>
      <c r="W236" s="17" t="s">
        <v>501</v>
      </c>
      <c r="Y236" s="172" t="s">
        <v>502</v>
      </c>
      <c r="Z236" s="5"/>
    </row>
    <row r="237" spans="18:26">
      <c r="R237" s="41" t="s">
        <v>508</v>
      </c>
      <c r="S237" s="41">
        <v>2</v>
      </c>
      <c r="T237" s="41">
        <v>2</v>
      </c>
      <c r="U237" s="42">
        <v>1356</v>
      </c>
      <c r="V237" s="41">
        <v>139.69</v>
      </c>
      <c r="W237" s="43">
        <v>40</v>
      </c>
      <c r="Y237" s="173" t="s">
        <v>509</v>
      </c>
      <c r="Z237" s="5"/>
    </row>
    <row r="238" spans="18:26">
      <c r="R238" s="41" t="s">
        <v>508</v>
      </c>
      <c r="S238" s="41">
        <v>2</v>
      </c>
      <c r="T238" s="41">
        <v>3</v>
      </c>
      <c r="U238" s="42">
        <v>1356</v>
      </c>
      <c r="V238" s="41">
        <v>140.16999999999999</v>
      </c>
      <c r="W238" s="43">
        <v>40</v>
      </c>
      <c r="Y238" s="173" t="s">
        <v>514</v>
      </c>
      <c r="Z238" s="5"/>
    </row>
    <row r="239" spans="18:26">
      <c r="R239" s="41" t="s">
        <v>508</v>
      </c>
      <c r="S239" s="41">
        <v>2</v>
      </c>
      <c r="T239" s="41">
        <v>4</v>
      </c>
      <c r="U239" s="42">
        <v>1356</v>
      </c>
      <c r="V239" s="41">
        <v>139.15</v>
      </c>
      <c r="W239" s="43">
        <v>40</v>
      </c>
      <c r="Y239" s="173" t="s">
        <v>518</v>
      </c>
      <c r="Z239" s="5"/>
    </row>
    <row r="240" spans="18:26">
      <c r="R240" s="41" t="s">
        <v>524</v>
      </c>
      <c r="S240" s="41">
        <v>4</v>
      </c>
      <c r="T240" s="41">
        <v>2</v>
      </c>
      <c r="U240" s="42">
        <v>1517</v>
      </c>
      <c r="V240" s="41">
        <v>135.41</v>
      </c>
      <c r="W240" s="43">
        <v>40</v>
      </c>
      <c r="Y240" s="173" t="s">
        <v>525</v>
      </c>
      <c r="Z240" s="5"/>
    </row>
    <row r="241" spans="18:26">
      <c r="R241" s="41" t="s">
        <v>524</v>
      </c>
      <c r="S241" s="41">
        <v>4</v>
      </c>
      <c r="T241" s="41">
        <v>3</v>
      </c>
      <c r="U241" s="42">
        <v>1517</v>
      </c>
      <c r="V241" s="157">
        <v>138.6</v>
      </c>
      <c r="W241" s="43">
        <v>40</v>
      </c>
      <c r="Y241" s="173" t="s">
        <v>529</v>
      </c>
      <c r="Z241" s="5"/>
    </row>
    <row r="242" spans="18:26">
      <c r="R242" s="41" t="s">
        <v>524</v>
      </c>
      <c r="S242" s="41">
        <v>4</v>
      </c>
      <c r="T242" s="41">
        <v>4</v>
      </c>
      <c r="U242" s="42">
        <v>1517</v>
      </c>
      <c r="V242" s="41">
        <v>135.63</v>
      </c>
      <c r="W242" s="43">
        <v>40</v>
      </c>
      <c r="Y242" s="173" t="s">
        <v>533</v>
      </c>
      <c r="Z242" s="5"/>
    </row>
    <row r="243" spans="18:26">
      <c r="R243" s="41" t="s">
        <v>538</v>
      </c>
      <c r="S243" s="41">
        <v>2</v>
      </c>
      <c r="T243" s="41">
        <v>2</v>
      </c>
      <c r="U243" s="42">
        <v>1231</v>
      </c>
      <c r="V243" s="41">
        <v>139.69</v>
      </c>
      <c r="W243" s="43">
        <v>30</v>
      </c>
      <c r="Y243" s="173" t="s">
        <v>539</v>
      </c>
      <c r="Z243" s="5"/>
    </row>
    <row r="244" spans="18:26">
      <c r="R244" s="41" t="s">
        <v>538</v>
      </c>
      <c r="S244" s="41">
        <v>2</v>
      </c>
      <c r="T244" s="41">
        <v>3</v>
      </c>
      <c r="U244" s="42">
        <v>1231</v>
      </c>
      <c r="V244" s="41">
        <v>140.16999999999999</v>
      </c>
      <c r="W244" s="43">
        <v>30</v>
      </c>
      <c r="Y244" s="173" t="s">
        <v>544</v>
      </c>
    </row>
    <row r="245" spans="18:26">
      <c r="R245" s="41" t="s">
        <v>538</v>
      </c>
      <c r="S245" s="41">
        <v>2</v>
      </c>
      <c r="T245" s="41">
        <v>4</v>
      </c>
      <c r="U245" s="42">
        <v>1231</v>
      </c>
      <c r="V245" s="41">
        <v>139.15</v>
      </c>
      <c r="W245" s="43">
        <v>30</v>
      </c>
      <c r="Y245" s="173" t="s">
        <v>549</v>
      </c>
    </row>
    <row r="246" spans="18:26">
      <c r="R246" s="41" t="s">
        <v>555</v>
      </c>
      <c r="S246" s="41">
        <v>2</v>
      </c>
      <c r="T246" s="41">
        <v>2</v>
      </c>
      <c r="U246" s="42">
        <v>1284</v>
      </c>
      <c r="V246" s="41">
        <v>139.69</v>
      </c>
      <c r="W246" s="43">
        <v>10</v>
      </c>
      <c r="Y246" s="173" t="s">
        <v>556</v>
      </c>
    </row>
    <row r="247" spans="18:26">
      <c r="R247" s="41" t="s">
        <v>555</v>
      </c>
      <c r="S247" s="41">
        <v>2</v>
      </c>
      <c r="T247" s="41">
        <v>3</v>
      </c>
      <c r="U247" s="42">
        <v>1284</v>
      </c>
      <c r="V247" s="41">
        <v>140.16999999999999</v>
      </c>
      <c r="W247" s="43">
        <v>10</v>
      </c>
      <c r="Y247" s="173" t="s">
        <v>561</v>
      </c>
    </row>
    <row r="248" spans="18:26">
      <c r="R248" s="41" t="s">
        <v>555</v>
      </c>
      <c r="S248" s="41">
        <v>2</v>
      </c>
      <c r="T248" s="41">
        <v>4</v>
      </c>
      <c r="U248" s="42">
        <v>1284</v>
      </c>
      <c r="V248" s="41">
        <v>139.15</v>
      </c>
      <c r="W248" s="43">
        <v>10</v>
      </c>
      <c r="Y248" s="173" t="s">
        <v>566</v>
      </c>
    </row>
    <row r="249" spans="18:26">
      <c r="R249" s="41" t="s">
        <v>570</v>
      </c>
      <c r="S249" s="41">
        <v>3</v>
      </c>
      <c r="T249" s="41">
        <v>2</v>
      </c>
      <c r="U249" s="42">
        <v>1477</v>
      </c>
      <c r="V249" s="41">
        <v>137.41999999999999</v>
      </c>
      <c r="W249" s="43">
        <v>40</v>
      </c>
      <c r="Y249" s="173" t="s">
        <v>571</v>
      </c>
    </row>
    <row r="250" spans="18:26">
      <c r="R250" s="41" t="s">
        <v>570</v>
      </c>
      <c r="S250" s="41">
        <v>3</v>
      </c>
      <c r="T250" s="41">
        <v>3</v>
      </c>
      <c r="U250" s="42">
        <v>1477</v>
      </c>
      <c r="V250" s="41">
        <v>139.79</v>
      </c>
      <c r="W250" s="43">
        <v>40</v>
      </c>
      <c r="Y250" s="173" t="s">
        <v>576</v>
      </c>
    </row>
    <row r="251" spans="18:26">
      <c r="R251" s="41" t="s">
        <v>570</v>
      </c>
      <c r="S251" s="41">
        <v>3</v>
      </c>
      <c r="T251" s="41">
        <v>4</v>
      </c>
      <c r="U251" s="42">
        <v>1477</v>
      </c>
      <c r="V251" s="41">
        <v>137.97</v>
      </c>
      <c r="W251" s="43">
        <v>40</v>
      </c>
      <c r="Y251" s="173" t="s">
        <v>580</v>
      </c>
    </row>
    <row r="252" spans="18:26">
      <c r="R252" s="41" t="s">
        <v>585</v>
      </c>
      <c r="S252" s="41">
        <v>6</v>
      </c>
      <c r="T252" s="41">
        <v>2</v>
      </c>
      <c r="U252" s="42">
        <v>1842</v>
      </c>
      <c r="V252" s="41">
        <v>135.41</v>
      </c>
      <c r="W252" s="43">
        <v>20</v>
      </c>
      <c r="Y252" s="173" t="s">
        <v>586</v>
      </c>
    </row>
    <row r="253" spans="18:26">
      <c r="R253" s="41" t="s">
        <v>585</v>
      </c>
      <c r="S253" s="41">
        <v>6</v>
      </c>
      <c r="T253" s="41">
        <v>3</v>
      </c>
      <c r="U253" s="42">
        <v>1842</v>
      </c>
      <c r="V253" s="157">
        <v>138.6</v>
      </c>
      <c r="W253" s="43">
        <v>20</v>
      </c>
      <c r="Y253" s="173" t="s">
        <v>589</v>
      </c>
    </row>
    <row r="254" spans="18:26">
      <c r="R254" s="41" t="s">
        <v>585</v>
      </c>
      <c r="S254" s="41">
        <v>6</v>
      </c>
      <c r="T254" s="41">
        <v>4</v>
      </c>
      <c r="U254" s="42">
        <v>1842</v>
      </c>
      <c r="V254" s="41">
        <v>135.63</v>
      </c>
      <c r="W254" s="43">
        <v>20</v>
      </c>
      <c r="Y254" s="173" t="s">
        <v>592</v>
      </c>
    </row>
    <row r="255" spans="18:26">
      <c r="R255" s="41" t="s">
        <v>595</v>
      </c>
      <c r="S255" s="41">
        <v>3</v>
      </c>
      <c r="T255" s="41">
        <v>2</v>
      </c>
      <c r="U255" s="42">
        <v>1396</v>
      </c>
      <c r="V255" s="41">
        <v>137.41999999999999</v>
      </c>
      <c r="W255" s="43">
        <v>30</v>
      </c>
      <c r="Y255" s="173" t="s">
        <v>596</v>
      </c>
    </row>
    <row r="256" spans="18:26">
      <c r="R256" s="41" t="s">
        <v>595</v>
      </c>
      <c r="S256" s="41">
        <v>3</v>
      </c>
      <c r="T256" s="41">
        <v>3</v>
      </c>
      <c r="U256" s="42">
        <v>1396</v>
      </c>
      <c r="V256" s="41">
        <v>139.79</v>
      </c>
      <c r="W256" s="43">
        <v>30</v>
      </c>
      <c r="Y256" s="173" t="s">
        <v>599</v>
      </c>
    </row>
    <row r="257" spans="18:25">
      <c r="R257" s="41" t="s">
        <v>595</v>
      </c>
      <c r="S257" s="41">
        <v>3</v>
      </c>
      <c r="T257" s="41">
        <v>4</v>
      </c>
      <c r="U257" s="42">
        <v>1396</v>
      </c>
      <c r="V257" s="41">
        <v>137.97</v>
      </c>
      <c r="W257" s="43">
        <v>30</v>
      </c>
      <c r="Y257" s="173" t="s">
        <v>603</v>
      </c>
    </row>
    <row r="258" spans="18:25">
      <c r="R258" s="41" t="s">
        <v>606</v>
      </c>
      <c r="S258" s="41">
        <v>5</v>
      </c>
      <c r="T258" s="41">
        <v>2</v>
      </c>
      <c r="U258" s="42">
        <v>1703</v>
      </c>
      <c r="V258" s="41">
        <v>135.41</v>
      </c>
      <c r="W258" s="43">
        <v>40</v>
      </c>
      <c r="Y258" s="173" t="s">
        <v>607</v>
      </c>
    </row>
    <row r="259" spans="18:25">
      <c r="R259" s="41" t="s">
        <v>606</v>
      </c>
      <c r="S259" s="41">
        <v>5</v>
      </c>
      <c r="T259" s="41">
        <v>3</v>
      </c>
      <c r="U259" s="42">
        <v>1703</v>
      </c>
      <c r="V259" s="157">
        <v>138.6</v>
      </c>
      <c r="W259" s="43">
        <v>40</v>
      </c>
      <c r="Y259" s="173" t="s">
        <v>610</v>
      </c>
    </row>
    <row r="260" spans="18:25">
      <c r="R260" s="41" t="s">
        <v>606</v>
      </c>
      <c r="S260" s="41">
        <v>5</v>
      </c>
      <c r="T260" s="41">
        <v>4</v>
      </c>
      <c r="U260" s="42">
        <v>1703</v>
      </c>
      <c r="V260" s="41">
        <v>135.63</v>
      </c>
      <c r="W260" s="43">
        <v>40</v>
      </c>
      <c r="Y260" s="173" t="s">
        <v>613</v>
      </c>
    </row>
    <row r="261" spans="18:25">
      <c r="R261" s="41" t="s">
        <v>616</v>
      </c>
      <c r="S261" s="41">
        <v>2</v>
      </c>
      <c r="T261" s="41">
        <v>2</v>
      </c>
      <c r="U261" s="42">
        <v>1144</v>
      </c>
      <c r="V261" s="41">
        <v>139.69</v>
      </c>
      <c r="W261" s="43">
        <v>10</v>
      </c>
      <c r="Y261" s="173" t="s">
        <v>617</v>
      </c>
    </row>
    <row r="262" spans="18:25">
      <c r="R262" s="41" t="s">
        <v>616</v>
      </c>
      <c r="S262" s="41">
        <v>2</v>
      </c>
      <c r="T262" s="41">
        <v>3</v>
      </c>
      <c r="U262" s="42">
        <v>1144</v>
      </c>
      <c r="V262" s="41">
        <v>140.16999999999999</v>
      </c>
      <c r="W262" s="43">
        <v>10</v>
      </c>
      <c r="Y262" s="173" t="s">
        <v>621</v>
      </c>
    </row>
    <row r="263" spans="18:25">
      <c r="R263" s="41" t="s">
        <v>616</v>
      </c>
      <c r="S263" s="41">
        <v>2</v>
      </c>
      <c r="T263" s="41">
        <v>4</v>
      </c>
      <c r="U263" s="42">
        <v>1144</v>
      </c>
      <c r="V263" s="41">
        <v>139.15</v>
      </c>
      <c r="W263" s="43">
        <v>10</v>
      </c>
      <c r="Y263" s="173" t="s">
        <v>624</v>
      </c>
    </row>
    <row r="264" spans="18:25">
      <c r="R264" s="41" t="s">
        <v>627</v>
      </c>
      <c r="S264" s="41">
        <v>4</v>
      </c>
      <c r="T264" s="41">
        <v>2</v>
      </c>
      <c r="U264" s="42">
        <v>1545</v>
      </c>
      <c r="V264" s="41">
        <v>135.41</v>
      </c>
      <c r="W264" s="43">
        <v>10</v>
      </c>
      <c r="Y264" s="173" t="s">
        <v>628</v>
      </c>
    </row>
    <row r="265" spans="18:25">
      <c r="R265" s="41" t="s">
        <v>627</v>
      </c>
      <c r="S265" s="41">
        <v>4</v>
      </c>
      <c r="T265" s="41">
        <v>3</v>
      </c>
      <c r="U265" s="42">
        <v>1545</v>
      </c>
      <c r="V265" s="157">
        <v>138.6</v>
      </c>
      <c r="W265" s="43">
        <v>10</v>
      </c>
      <c r="Y265" s="173" t="s">
        <v>631</v>
      </c>
    </row>
    <row r="266" spans="18:25">
      <c r="R266" s="41" t="s">
        <v>627</v>
      </c>
      <c r="S266" s="41">
        <v>4</v>
      </c>
      <c r="T266" s="41">
        <v>4</v>
      </c>
      <c r="U266" s="42">
        <v>1545</v>
      </c>
      <c r="V266" s="41">
        <v>135.63</v>
      </c>
      <c r="W266" s="43">
        <v>10</v>
      </c>
      <c r="Y266" s="173" t="s">
        <v>634</v>
      </c>
    </row>
    <row r="267" spans="18:25">
      <c r="R267" s="41" t="s">
        <v>636</v>
      </c>
      <c r="S267" s="41">
        <v>3</v>
      </c>
      <c r="T267" s="41">
        <v>2</v>
      </c>
      <c r="U267" s="42">
        <v>1400</v>
      </c>
      <c r="V267" s="41">
        <v>137.41999999999999</v>
      </c>
      <c r="W267" s="43">
        <v>30</v>
      </c>
      <c r="Y267" s="173" t="s">
        <v>637</v>
      </c>
    </row>
    <row r="268" spans="18:25">
      <c r="R268" s="41" t="s">
        <v>636</v>
      </c>
      <c r="S268" s="41">
        <v>3</v>
      </c>
      <c r="T268" s="41">
        <v>3</v>
      </c>
      <c r="U268" s="42">
        <v>1400</v>
      </c>
      <c r="V268" s="41">
        <v>139.79</v>
      </c>
      <c r="W268" s="43">
        <v>30</v>
      </c>
      <c r="Y268" s="173" t="s">
        <v>640</v>
      </c>
    </row>
    <row r="269" spans="18:25">
      <c r="R269" s="41" t="s">
        <v>636</v>
      </c>
      <c r="S269" s="41">
        <v>3</v>
      </c>
      <c r="T269" s="41">
        <v>4</v>
      </c>
      <c r="U269" s="42">
        <v>1400</v>
      </c>
      <c r="V269" s="41">
        <v>137.97</v>
      </c>
      <c r="W269" s="43">
        <v>30</v>
      </c>
      <c r="Y269" s="173" t="s">
        <v>642</v>
      </c>
    </row>
    <row r="270" spans="18:25">
      <c r="R270" s="41" t="s">
        <v>644</v>
      </c>
      <c r="S270" s="41">
        <v>2</v>
      </c>
      <c r="T270" s="41">
        <v>2</v>
      </c>
      <c r="U270" s="42">
        <v>1143</v>
      </c>
      <c r="V270" s="41">
        <v>139.69</v>
      </c>
      <c r="W270" s="43">
        <v>10</v>
      </c>
      <c r="Y270" s="173" t="s">
        <v>645</v>
      </c>
    </row>
    <row r="271" spans="18:25">
      <c r="R271" s="41" t="s">
        <v>644</v>
      </c>
      <c r="S271" s="41">
        <v>2</v>
      </c>
      <c r="T271" s="41">
        <v>3</v>
      </c>
      <c r="U271" s="42">
        <v>1143</v>
      </c>
      <c r="V271" s="41">
        <v>140.16999999999999</v>
      </c>
      <c r="W271" s="43">
        <v>10</v>
      </c>
      <c r="Y271" s="173" t="s">
        <v>648</v>
      </c>
    </row>
    <row r="272" spans="18:25">
      <c r="R272" s="41" t="s">
        <v>644</v>
      </c>
      <c r="S272" s="41">
        <v>2</v>
      </c>
      <c r="T272" s="41">
        <v>4</v>
      </c>
      <c r="U272" s="42">
        <v>1143</v>
      </c>
      <c r="V272" s="41">
        <v>139.15</v>
      </c>
      <c r="W272" s="43">
        <v>10</v>
      </c>
      <c r="Y272" s="173" t="s">
        <v>651</v>
      </c>
    </row>
    <row r="273" spans="18:25">
      <c r="R273" s="41" t="s">
        <v>654</v>
      </c>
      <c r="S273" s="41">
        <v>2</v>
      </c>
      <c r="T273" s="41">
        <v>2</v>
      </c>
      <c r="U273" s="42">
        <v>1320</v>
      </c>
      <c r="V273" s="41">
        <v>139.69</v>
      </c>
      <c r="W273" s="43">
        <v>35</v>
      </c>
      <c r="Y273" s="173" t="s">
        <v>655</v>
      </c>
    </row>
    <row r="274" spans="18:25">
      <c r="R274" s="41" t="s">
        <v>654</v>
      </c>
      <c r="S274" s="41">
        <v>2</v>
      </c>
      <c r="T274" s="41">
        <v>3</v>
      </c>
      <c r="U274" s="42">
        <v>1320</v>
      </c>
      <c r="V274" s="41">
        <v>140.16999999999999</v>
      </c>
      <c r="W274" s="43">
        <v>35</v>
      </c>
      <c r="Y274" s="173" t="s">
        <v>658</v>
      </c>
    </row>
    <row r="275" spans="18:25">
      <c r="R275" s="41" t="s">
        <v>654</v>
      </c>
      <c r="S275" s="41">
        <v>2</v>
      </c>
      <c r="T275" s="41">
        <v>4</v>
      </c>
      <c r="U275" s="42">
        <v>1320</v>
      </c>
      <c r="V275" s="41">
        <v>139.15</v>
      </c>
      <c r="W275" s="43">
        <v>35</v>
      </c>
      <c r="Y275" s="173" t="s">
        <v>661</v>
      </c>
    </row>
    <row r="276" spans="18:25">
      <c r="Y276" s="173"/>
    </row>
    <row r="277" spans="18:25">
      <c r="S277" s="52" t="s">
        <v>522</v>
      </c>
      <c r="Y277" s="173"/>
    </row>
    <row r="278" spans="18:25">
      <c r="R278" s="429" t="s">
        <v>490</v>
      </c>
      <c r="S278" s="430"/>
      <c r="T278" s="430"/>
      <c r="U278" s="430"/>
      <c r="V278" s="430"/>
      <c r="W278" s="431"/>
      <c r="Y278" s="171" t="s">
        <v>478</v>
      </c>
    </row>
    <row r="279" spans="18:25">
      <c r="R279" s="16" t="s">
        <v>497</v>
      </c>
      <c r="S279" s="16" t="s">
        <v>498</v>
      </c>
      <c r="T279" s="16" t="s">
        <v>483</v>
      </c>
      <c r="U279" s="16" t="s">
        <v>499</v>
      </c>
      <c r="V279" s="16" t="s">
        <v>500</v>
      </c>
      <c r="W279" s="17" t="s">
        <v>501</v>
      </c>
      <c r="Y279" s="172" t="s">
        <v>502</v>
      </c>
    </row>
    <row r="280" spans="18:25">
      <c r="R280" s="41" t="s">
        <v>508</v>
      </c>
      <c r="S280" s="41">
        <v>2</v>
      </c>
      <c r="T280" s="41">
        <v>2</v>
      </c>
      <c r="U280" s="42">
        <v>1356</v>
      </c>
      <c r="V280" s="41">
        <v>139.69</v>
      </c>
      <c r="W280" s="43">
        <v>40</v>
      </c>
      <c r="Y280" s="173" t="s">
        <v>509</v>
      </c>
    </row>
    <row r="281" spans="18:25">
      <c r="R281" s="41" t="s">
        <v>508</v>
      </c>
      <c r="S281" s="41">
        <v>2</v>
      </c>
      <c r="T281" s="41">
        <v>3</v>
      </c>
      <c r="U281" s="42">
        <v>1356</v>
      </c>
      <c r="V281" s="41">
        <v>140.16999999999999</v>
      </c>
      <c r="W281" s="43">
        <v>40</v>
      </c>
      <c r="Y281" s="173" t="s">
        <v>514</v>
      </c>
    </row>
    <row r="282" spans="18:25">
      <c r="R282" s="41" t="s">
        <v>508</v>
      </c>
      <c r="S282" s="41">
        <v>2</v>
      </c>
      <c r="T282" s="41">
        <v>4</v>
      </c>
      <c r="U282" s="42">
        <v>1356</v>
      </c>
      <c r="V282" s="41">
        <v>139.15</v>
      </c>
      <c r="W282" s="43">
        <v>40</v>
      </c>
      <c r="Y282" s="173" t="s">
        <v>518</v>
      </c>
    </row>
    <row r="283" spans="18:25">
      <c r="R283" s="41" t="s">
        <v>524</v>
      </c>
      <c r="S283" s="41">
        <v>4</v>
      </c>
      <c r="T283" s="41">
        <v>2</v>
      </c>
      <c r="U283" s="42">
        <v>1517</v>
      </c>
      <c r="V283" s="41">
        <v>135.41</v>
      </c>
      <c r="W283" s="43">
        <v>40</v>
      </c>
      <c r="Y283" s="173" t="s">
        <v>525</v>
      </c>
    </row>
    <row r="284" spans="18:25">
      <c r="R284" s="41" t="s">
        <v>524</v>
      </c>
      <c r="S284" s="41">
        <v>4</v>
      </c>
      <c r="T284" s="41">
        <v>3</v>
      </c>
      <c r="U284" s="42">
        <v>1517</v>
      </c>
      <c r="V284" s="157">
        <v>138.6</v>
      </c>
      <c r="W284" s="43">
        <v>40</v>
      </c>
      <c r="Y284" s="173" t="s">
        <v>529</v>
      </c>
    </row>
    <row r="285" spans="18:25">
      <c r="R285" s="41" t="s">
        <v>524</v>
      </c>
      <c r="S285" s="41">
        <v>4</v>
      </c>
      <c r="T285" s="41">
        <v>4</v>
      </c>
      <c r="U285" s="42">
        <v>1517</v>
      </c>
      <c r="V285" s="41">
        <v>135.63</v>
      </c>
      <c r="W285" s="43">
        <v>40</v>
      </c>
      <c r="Y285" s="173" t="s">
        <v>533</v>
      </c>
    </row>
    <row r="286" spans="18:25">
      <c r="R286" s="41" t="s">
        <v>538</v>
      </c>
      <c r="S286" s="41">
        <v>2</v>
      </c>
      <c r="T286" s="41">
        <v>2</v>
      </c>
      <c r="U286" s="42">
        <v>1231</v>
      </c>
      <c r="V286" s="41">
        <v>139.69</v>
      </c>
      <c r="W286" s="43">
        <v>30</v>
      </c>
      <c r="Y286" s="173" t="s">
        <v>539</v>
      </c>
    </row>
    <row r="287" spans="18:25">
      <c r="R287" s="41" t="s">
        <v>538</v>
      </c>
      <c r="S287" s="41">
        <v>2</v>
      </c>
      <c r="T287" s="41">
        <v>3</v>
      </c>
      <c r="U287" s="42">
        <v>1231</v>
      </c>
      <c r="V287" s="41">
        <v>140.16999999999999</v>
      </c>
      <c r="W287" s="43">
        <v>30</v>
      </c>
      <c r="Y287" s="173" t="s">
        <v>544</v>
      </c>
    </row>
    <row r="288" spans="18:25">
      <c r="R288" s="41" t="s">
        <v>538</v>
      </c>
      <c r="S288" s="41">
        <v>2</v>
      </c>
      <c r="T288" s="41">
        <v>4</v>
      </c>
      <c r="U288" s="42">
        <v>1231</v>
      </c>
      <c r="V288" s="41">
        <v>139.15</v>
      </c>
      <c r="W288" s="43">
        <v>30</v>
      </c>
      <c r="Y288" s="173" t="s">
        <v>549</v>
      </c>
    </row>
    <row r="289" spans="18:25">
      <c r="R289" s="41" t="s">
        <v>555</v>
      </c>
      <c r="S289" s="41">
        <v>2</v>
      </c>
      <c r="T289" s="41">
        <v>2</v>
      </c>
      <c r="U289" s="42">
        <v>1284</v>
      </c>
      <c r="V289" s="41">
        <v>139.69</v>
      </c>
      <c r="W289" s="43">
        <v>10</v>
      </c>
      <c r="Y289" s="173" t="s">
        <v>556</v>
      </c>
    </row>
    <row r="290" spans="18:25">
      <c r="R290" s="41" t="s">
        <v>555</v>
      </c>
      <c r="S290" s="41">
        <v>2</v>
      </c>
      <c r="T290" s="41">
        <v>3</v>
      </c>
      <c r="U290" s="42">
        <v>1284</v>
      </c>
      <c r="V290" s="41">
        <v>140.16999999999999</v>
      </c>
      <c r="W290" s="43">
        <v>10</v>
      </c>
      <c r="Y290" s="173" t="s">
        <v>561</v>
      </c>
    </row>
    <row r="291" spans="18:25">
      <c r="R291" s="41" t="s">
        <v>555</v>
      </c>
      <c r="S291" s="41">
        <v>2</v>
      </c>
      <c r="T291" s="41">
        <v>4</v>
      </c>
      <c r="U291" s="42">
        <v>1284</v>
      </c>
      <c r="V291" s="41">
        <v>139.15</v>
      </c>
      <c r="W291" s="43">
        <v>10</v>
      </c>
      <c r="Y291" s="173" t="s">
        <v>566</v>
      </c>
    </row>
    <row r="292" spans="18:25">
      <c r="R292" s="41" t="s">
        <v>570</v>
      </c>
      <c r="S292" s="41">
        <v>3</v>
      </c>
      <c r="T292" s="41">
        <v>2</v>
      </c>
      <c r="U292" s="42">
        <v>1477</v>
      </c>
      <c r="V292" s="41">
        <v>137.41999999999999</v>
      </c>
      <c r="W292" s="43">
        <v>40</v>
      </c>
      <c r="Y292" s="173" t="s">
        <v>571</v>
      </c>
    </row>
    <row r="293" spans="18:25">
      <c r="R293" s="41" t="s">
        <v>570</v>
      </c>
      <c r="S293" s="41">
        <v>3</v>
      </c>
      <c r="T293" s="41">
        <v>3</v>
      </c>
      <c r="U293" s="42">
        <v>1477</v>
      </c>
      <c r="V293" s="41">
        <v>139.79</v>
      </c>
      <c r="W293" s="43">
        <v>40</v>
      </c>
      <c r="Y293" s="173" t="s">
        <v>576</v>
      </c>
    </row>
    <row r="294" spans="18:25">
      <c r="R294" s="41" t="s">
        <v>570</v>
      </c>
      <c r="S294" s="41">
        <v>3</v>
      </c>
      <c r="T294" s="41">
        <v>4</v>
      </c>
      <c r="U294" s="42">
        <v>1477</v>
      </c>
      <c r="V294" s="41">
        <v>137.97</v>
      </c>
      <c r="W294" s="43">
        <v>40</v>
      </c>
      <c r="Y294" s="173" t="s">
        <v>580</v>
      </c>
    </row>
    <row r="295" spans="18:25">
      <c r="R295" s="41" t="s">
        <v>585</v>
      </c>
      <c r="S295" s="41">
        <v>6</v>
      </c>
      <c r="T295" s="41">
        <v>2</v>
      </c>
      <c r="U295" s="42">
        <v>1842</v>
      </c>
      <c r="V295" s="41">
        <v>135.41</v>
      </c>
      <c r="W295" s="43">
        <v>20</v>
      </c>
      <c r="Y295" s="173" t="s">
        <v>586</v>
      </c>
    </row>
    <row r="296" spans="18:25">
      <c r="R296" s="41" t="s">
        <v>585</v>
      </c>
      <c r="S296" s="41">
        <v>6</v>
      </c>
      <c r="T296" s="41">
        <v>3</v>
      </c>
      <c r="U296" s="42">
        <v>1842</v>
      </c>
      <c r="V296" s="157">
        <v>138.6</v>
      </c>
      <c r="W296" s="43">
        <v>20</v>
      </c>
      <c r="Y296" s="173" t="s">
        <v>589</v>
      </c>
    </row>
    <row r="297" spans="18:25">
      <c r="R297" s="41" t="s">
        <v>585</v>
      </c>
      <c r="S297" s="41">
        <v>6</v>
      </c>
      <c r="T297" s="41">
        <v>4</v>
      </c>
      <c r="U297" s="42">
        <v>1842</v>
      </c>
      <c r="V297" s="41">
        <v>135.63</v>
      </c>
      <c r="W297" s="43">
        <v>20</v>
      </c>
      <c r="Y297" s="173" t="s">
        <v>592</v>
      </c>
    </row>
    <row r="298" spans="18:25">
      <c r="R298" s="41" t="s">
        <v>595</v>
      </c>
      <c r="S298" s="41">
        <v>3</v>
      </c>
      <c r="T298" s="41">
        <v>2</v>
      </c>
      <c r="U298" s="42">
        <v>1396</v>
      </c>
      <c r="V298" s="41">
        <v>137.41999999999999</v>
      </c>
      <c r="W298" s="43">
        <v>30</v>
      </c>
      <c r="Y298" s="173" t="s">
        <v>596</v>
      </c>
    </row>
    <row r="299" spans="18:25">
      <c r="R299" s="41" t="s">
        <v>595</v>
      </c>
      <c r="S299" s="41">
        <v>3</v>
      </c>
      <c r="T299" s="41">
        <v>3</v>
      </c>
      <c r="U299" s="42">
        <v>1396</v>
      </c>
      <c r="V299" s="41">
        <v>139.79</v>
      </c>
      <c r="W299" s="43">
        <v>30</v>
      </c>
      <c r="Y299" s="173" t="s">
        <v>599</v>
      </c>
    </row>
    <row r="300" spans="18:25">
      <c r="R300" s="41" t="s">
        <v>595</v>
      </c>
      <c r="S300" s="41">
        <v>3</v>
      </c>
      <c r="T300" s="41">
        <v>4</v>
      </c>
      <c r="U300" s="42">
        <v>1396</v>
      </c>
      <c r="V300" s="41">
        <v>137.97</v>
      </c>
      <c r="W300" s="43">
        <v>30</v>
      </c>
      <c r="Y300" s="173" t="s">
        <v>603</v>
      </c>
    </row>
    <row r="301" spans="18:25">
      <c r="R301" s="41" t="s">
        <v>606</v>
      </c>
      <c r="S301" s="41">
        <v>5</v>
      </c>
      <c r="T301" s="41">
        <v>2</v>
      </c>
      <c r="U301" s="42">
        <v>1703</v>
      </c>
      <c r="V301" s="41">
        <v>135.41</v>
      </c>
      <c r="W301" s="43">
        <v>40</v>
      </c>
      <c r="Y301" s="173" t="s">
        <v>607</v>
      </c>
    </row>
    <row r="302" spans="18:25">
      <c r="R302" s="41" t="s">
        <v>606</v>
      </c>
      <c r="S302" s="41">
        <v>5</v>
      </c>
      <c r="T302" s="41">
        <v>3</v>
      </c>
      <c r="U302" s="42">
        <v>1703</v>
      </c>
      <c r="V302" s="157">
        <v>138.6</v>
      </c>
      <c r="W302" s="43">
        <v>40</v>
      </c>
      <c r="Y302" s="173" t="s">
        <v>610</v>
      </c>
    </row>
    <row r="303" spans="18:25">
      <c r="R303" s="41" t="s">
        <v>606</v>
      </c>
      <c r="S303" s="41">
        <v>5</v>
      </c>
      <c r="T303" s="41">
        <v>4</v>
      </c>
      <c r="U303" s="42">
        <v>1703</v>
      </c>
      <c r="V303" s="41">
        <v>135.63</v>
      </c>
      <c r="W303" s="43">
        <v>40</v>
      </c>
      <c r="Y303" s="173" t="s">
        <v>613</v>
      </c>
    </row>
    <row r="304" spans="18:25">
      <c r="R304" s="41" t="s">
        <v>616</v>
      </c>
      <c r="S304" s="41">
        <v>2</v>
      </c>
      <c r="T304" s="41">
        <v>2</v>
      </c>
      <c r="U304" s="42">
        <v>1144</v>
      </c>
      <c r="V304" s="41">
        <v>139.69</v>
      </c>
      <c r="W304" s="43">
        <v>10</v>
      </c>
      <c r="Y304" s="173" t="s">
        <v>617</v>
      </c>
    </row>
    <row r="305" spans="18:25">
      <c r="R305" s="41" t="s">
        <v>616</v>
      </c>
      <c r="S305" s="41">
        <v>2</v>
      </c>
      <c r="T305" s="41">
        <v>3</v>
      </c>
      <c r="U305" s="42">
        <v>1144</v>
      </c>
      <c r="V305" s="41">
        <v>140.16999999999999</v>
      </c>
      <c r="W305" s="43">
        <v>10</v>
      </c>
      <c r="Y305" s="173" t="s">
        <v>621</v>
      </c>
    </row>
    <row r="306" spans="18:25">
      <c r="R306" s="41" t="s">
        <v>616</v>
      </c>
      <c r="S306" s="41">
        <v>2</v>
      </c>
      <c r="T306" s="41">
        <v>4</v>
      </c>
      <c r="U306" s="42">
        <v>1144</v>
      </c>
      <c r="V306" s="41">
        <v>139.15</v>
      </c>
      <c r="W306" s="43">
        <v>10</v>
      </c>
      <c r="Y306" s="173" t="s">
        <v>624</v>
      </c>
    </row>
    <row r="307" spans="18:25">
      <c r="R307" s="41" t="s">
        <v>627</v>
      </c>
      <c r="S307" s="41">
        <v>4</v>
      </c>
      <c r="T307" s="41">
        <v>2</v>
      </c>
      <c r="U307" s="42">
        <v>1545</v>
      </c>
      <c r="V307" s="41">
        <v>135.41</v>
      </c>
      <c r="W307" s="43">
        <v>10</v>
      </c>
      <c r="Y307" s="173" t="s">
        <v>628</v>
      </c>
    </row>
    <row r="308" spans="18:25">
      <c r="R308" s="41" t="s">
        <v>627</v>
      </c>
      <c r="S308" s="41">
        <v>4</v>
      </c>
      <c r="T308" s="41">
        <v>3</v>
      </c>
      <c r="U308" s="42">
        <v>1545</v>
      </c>
      <c r="V308" s="157">
        <v>138.6</v>
      </c>
      <c r="W308" s="43">
        <v>10</v>
      </c>
      <c r="Y308" s="173" t="s">
        <v>631</v>
      </c>
    </row>
    <row r="309" spans="18:25">
      <c r="R309" s="41" t="s">
        <v>627</v>
      </c>
      <c r="S309" s="41">
        <v>4</v>
      </c>
      <c r="T309" s="41">
        <v>4</v>
      </c>
      <c r="U309" s="42">
        <v>1545</v>
      </c>
      <c r="V309" s="41">
        <v>135.63</v>
      </c>
      <c r="W309" s="43">
        <v>10</v>
      </c>
      <c r="Y309" s="173" t="s">
        <v>634</v>
      </c>
    </row>
    <row r="310" spans="18:25">
      <c r="R310" s="41" t="s">
        <v>636</v>
      </c>
      <c r="S310" s="41">
        <v>3</v>
      </c>
      <c r="T310" s="41">
        <v>2</v>
      </c>
      <c r="U310" s="42">
        <v>1400</v>
      </c>
      <c r="V310" s="41">
        <v>137.41999999999999</v>
      </c>
      <c r="W310" s="43">
        <v>30</v>
      </c>
      <c r="Y310" s="173" t="s">
        <v>637</v>
      </c>
    </row>
    <row r="311" spans="18:25">
      <c r="R311" s="41" t="s">
        <v>636</v>
      </c>
      <c r="S311" s="41">
        <v>3</v>
      </c>
      <c r="T311" s="41">
        <v>3</v>
      </c>
      <c r="U311" s="42">
        <v>1400</v>
      </c>
      <c r="V311" s="41">
        <v>139.79</v>
      </c>
      <c r="W311" s="43">
        <v>30</v>
      </c>
      <c r="Y311" s="173" t="s">
        <v>640</v>
      </c>
    </row>
    <row r="312" spans="18:25">
      <c r="R312" s="41" t="s">
        <v>636</v>
      </c>
      <c r="S312" s="41">
        <v>3</v>
      </c>
      <c r="T312" s="41">
        <v>4</v>
      </c>
      <c r="U312" s="42">
        <v>1400</v>
      </c>
      <c r="V312" s="41">
        <v>137.97</v>
      </c>
      <c r="W312" s="43">
        <v>30</v>
      </c>
      <c r="Y312" s="173" t="s">
        <v>642</v>
      </c>
    </row>
    <row r="313" spans="18:25">
      <c r="R313" s="41" t="s">
        <v>644</v>
      </c>
      <c r="S313" s="41">
        <v>2</v>
      </c>
      <c r="T313" s="41">
        <v>2</v>
      </c>
      <c r="U313" s="42">
        <v>1143</v>
      </c>
      <c r="V313" s="41">
        <v>139.69</v>
      </c>
      <c r="W313" s="43">
        <v>10</v>
      </c>
      <c r="Y313" s="173" t="s">
        <v>645</v>
      </c>
    </row>
    <row r="314" spans="18:25">
      <c r="R314" s="41" t="s">
        <v>644</v>
      </c>
      <c r="S314" s="41">
        <v>2</v>
      </c>
      <c r="T314" s="41">
        <v>3</v>
      </c>
      <c r="U314" s="42">
        <v>1143</v>
      </c>
      <c r="V314" s="41">
        <v>140.16999999999999</v>
      </c>
      <c r="W314" s="43">
        <v>10</v>
      </c>
      <c r="Y314" s="173" t="s">
        <v>648</v>
      </c>
    </row>
    <row r="315" spans="18:25">
      <c r="R315" s="41" t="s">
        <v>644</v>
      </c>
      <c r="S315" s="41">
        <v>2</v>
      </c>
      <c r="T315" s="41">
        <v>4</v>
      </c>
      <c r="U315" s="42">
        <v>1143</v>
      </c>
      <c r="V315" s="41">
        <v>139.15</v>
      </c>
      <c r="W315" s="43">
        <v>10</v>
      </c>
      <c r="Y315" s="173" t="s">
        <v>651</v>
      </c>
    </row>
    <row r="316" spans="18:25">
      <c r="R316" s="41" t="s">
        <v>654</v>
      </c>
      <c r="S316" s="41">
        <v>2</v>
      </c>
      <c r="T316" s="41">
        <v>2</v>
      </c>
      <c r="U316" s="42">
        <v>1320</v>
      </c>
      <c r="V316" s="41">
        <v>139.69</v>
      </c>
      <c r="W316" s="43">
        <v>35</v>
      </c>
      <c r="Y316" s="173" t="s">
        <v>655</v>
      </c>
    </row>
    <row r="317" spans="18:25">
      <c r="R317" s="41" t="s">
        <v>654</v>
      </c>
      <c r="S317" s="41">
        <v>2</v>
      </c>
      <c r="T317" s="41">
        <v>3</v>
      </c>
      <c r="U317" s="42">
        <v>1320</v>
      </c>
      <c r="V317" s="41">
        <v>140.16999999999999</v>
      </c>
      <c r="W317" s="43">
        <v>35</v>
      </c>
      <c r="Y317" s="173" t="s">
        <v>658</v>
      </c>
    </row>
    <row r="318" spans="18:25">
      <c r="R318" s="41" t="s">
        <v>654</v>
      </c>
      <c r="S318" s="41">
        <v>2</v>
      </c>
      <c r="T318" s="41">
        <v>4</v>
      </c>
      <c r="U318" s="42">
        <v>1320</v>
      </c>
      <c r="V318" s="41">
        <v>139.15</v>
      </c>
      <c r="W318" s="43">
        <v>35</v>
      </c>
      <c r="Y318" s="173" t="s">
        <v>661</v>
      </c>
    </row>
    <row r="319" spans="18:25">
      <c r="Y319" s="173"/>
    </row>
    <row r="320" spans="18:25">
      <c r="S320" s="52" t="s">
        <v>527</v>
      </c>
      <c r="Y320" s="173"/>
    </row>
    <row r="321" spans="18:25">
      <c r="R321" s="429" t="s">
        <v>490</v>
      </c>
      <c r="S321" s="430"/>
      <c r="T321" s="430"/>
      <c r="U321" s="430"/>
      <c r="V321" s="430"/>
      <c r="W321" s="431"/>
      <c r="Y321" s="171" t="s">
        <v>478</v>
      </c>
    </row>
    <row r="322" spans="18:25">
      <c r="R322" s="16" t="s">
        <v>497</v>
      </c>
      <c r="S322" s="16" t="s">
        <v>498</v>
      </c>
      <c r="T322" s="16" t="s">
        <v>483</v>
      </c>
      <c r="U322" s="16" t="s">
        <v>499</v>
      </c>
      <c r="V322" s="16" t="s">
        <v>500</v>
      </c>
      <c r="W322" s="17" t="s">
        <v>501</v>
      </c>
      <c r="Y322" s="172" t="s">
        <v>502</v>
      </c>
    </row>
    <row r="323" spans="18:25">
      <c r="R323" s="41" t="s">
        <v>508</v>
      </c>
      <c r="S323" s="41">
        <v>2</v>
      </c>
      <c r="T323" s="41">
        <v>2</v>
      </c>
      <c r="U323" s="42">
        <v>1356</v>
      </c>
      <c r="V323" s="41">
        <v>139.69</v>
      </c>
      <c r="W323" s="43">
        <v>40</v>
      </c>
      <c r="Y323" s="173" t="s">
        <v>509</v>
      </c>
    </row>
    <row r="324" spans="18:25">
      <c r="R324" s="41" t="s">
        <v>508</v>
      </c>
      <c r="S324" s="41">
        <v>2</v>
      </c>
      <c r="T324" s="41">
        <v>3</v>
      </c>
      <c r="U324" s="42">
        <v>1356</v>
      </c>
      <c r="V324" s="41">
        <v>140.16999999999999</v>
      </c>
      <c r="W324" s="43">
        <v>40</v>
      </c>
      <c r="Y324" s="173" t="s">
        <v>514</v>
      </c>
    </row>
    <row r="325" spans="18:25">
      <c r="R325" s="41" t="s">
        <v>508</v>
      </c>
      <c r="S325" s="41">
        <v>2</v>
      </c>
      <c r="T325" s="41">
        <v>4</v>
      </c>
      <c r="U325" s="42">
        <v>1356</v>
      </c>
      <c r="V325" s="41">
        <v>139.15</v>
      </c>
      <c r="W325" s="43">
        <v>40</v>
      </c>
      <c r="Y325" s="173" t="s">
        <v>518</v>
      </c>
    </row>
    <row r="326" spans="18:25">
      <c r="R326" s="41" t="s">
        <v>524</v>
      </c>
      <c r="S326" s="41">
        <v>4</v>
      </c>
      <c r="T326" s="41">
        <v>2</v>
      </c>
      <c r="U326" s="42">
        <v>1517</v>
      </c>
      <c r="V326" s="41">
        <v>135.41</v>
      </c>
      <c r="W326" s="43">
        <v>40</v>
      </c>
      <c r="Y326" s="173" t="s">
        <v>525</v>
      </c>
    </row>
    <row r="327" spans="18:25">
      <c r="R327" s="41" t="s">
        <v>524</v>
      </c>
      <c r="S327" s="41">
        <v>4</v>
      </c>
      <c r="T327" s="41">
        <v>3</v>
      </c>
      <c r="U327" s="42">
        <v>1517</v>
      </c>
      <c r="V327" s="157">
        <v>138.6</v>
      </c>
      <c r="W327" s="43">
        <v>40</v>
      </c>
      <c r="Y327" s="173" t="s">
        <v>529</v>
      </c>
    </row>
    <row r="328" spans="18:25">
      <c r="R328" s="41" t="s">
        <v>524</v>
      </c>
      <c r="S328" s="41">
        <v>4</v>
      </c>
      <c r="T328" s="41">
        <v>4</v>
      </c>
      <c r="U328" s="42">
        <v>1517</v>
      </c>
      <c r="V328" s="41">
        <v>135.63</v>
      </c>
      <c r="W328" s="43">
        <v>40</v>
      </c>
      <c r="Y328" s="173" t="s">
        <v>533</v>
      </c>
    </row>
    <row r="329" spans="18:25">
      <c r="R329" s="41" t="s">
        <v>538</v>
      </c>
      <c r="S329" s="41">
        <v>2</v>
      </c>
      <c r="T329" s="41">
        <v>2</v>
      </c>
      <c r="U329" s="42">
        <v>1231</v>
      </c>
      <c r="V329" s="41">
        <v>139.69</v>
      </c>
      <c r="W329" s="43">
        <v>30</v>
      </c>
      <c r="Y329" s="173" t="s">
        <v>539</v>
      </c>
    </row>
    <row r="330" spans="18:25">
      <c r="R330" s="41" t="s">
        <v>538</v>
      </c>
      <c r="S330" s="41">
        <v>2</v>
      </c>
      <c r="T330" s="41">
        <v>3</v>
      </c>
      <c r="U330" s="42">
        <v>1231</v>
      </c>
      <c r="V330" s="41">
        <v>140.16999999999999</v>
      </c>
      <c r="W330" s="43">
        <v>30</v>
      </c>
      <c r="Y330" s="173" t="s">
        <v>544</v>
      </c>
    </row>
    <row r="331" spans="18:25">
      <c r="R331" s="41" t="s">
        <v>538</v>
      </c>
      <c r="S331" s="41">
        <v>2</v>
      </c>
      <c r="T331" s="41">
        <v>4</v>
      </c>
      <c r="U331" s="42">
        <v>1231</v>
      </c>
      <c r="V331" s="41">
        <v>139.15</v>
      </c>
      <c r="W331" s="43">
        <v>30</v>
      </c>
      <c r="Y331" s="173" t="s">
        <v>549</v>
      </c>
    </row>
    <row r="332" spans="18:25">
      <c r="R332" s="41" t="s">
        <v>555</v>
      </c>
      <c r="S332" s="41">
        <v>2</v>
      </c>
      <c r="T332" s="41">
        <v>2</v>
      </c>
      <c r="U332" s="42">
        <v>1284</v>
      </c>
      <c r="V332" s="41">
        <v>139.69</v>
      </c>
      <c r="W332" s="43">
        <v>10</v>
      </c>
      <c r="Y332" s="173" t="s">
        <v>556</v>
      </c>
    </row>
    <row r="333" spans="18:25">
      <c r="R333" s="41" t="s">
        <v>555</v>
      </c>
      <c r="S333" s="41">
        <v>2</v>
      </c>
      <c r="T333" s="41">
        <v>3</v>
      </c>
      <c r="U333" s="42">
        <v>1284</v>
      </c>
      <c r="V333" s="41">
        <v>140.16999999999999</v>
      </c>
      <c r="W333" s="43">
        <v>10</v>
      </c>
      <c r="Y333" s="173" t="s">
        <v>561</v>
      </c>
    </row>
    <row r="334" spans="18:25">
      <c r="R334" s="41" t="s">
        <v>555</v>
      </c>
      <c r="S334" s="41">
        <v>2</v>
      </c>
      <c r="T334" s="41">
        <v>4</v>
      </c>
      <c r="U334" s="42">
        <v>1284</v>
      </c>
      <c r="V334" s="41">
        <v>139.15</v>
      </c>
      <c r="W334" s="43">
        <v>10</v>
      </c>
      <c r="Y334" s="173" t="s">
        <v>566</v>
      </c>
    </row>
    <row r="335" spans="18:25">
      <c r="R335" s="41" t="s">
        <v>570</v>
      </c>
      <c r="S335" s="41">
        <v>3</v>
      </c>
      <c r="T335" s="41">
        <v>2</v>
      </c>
      <c r="U335" s="42">
        <v>1477</v>
      </c>
      <c r="V335" s="41">
        <v>137.41999999999999</v>
      </c>
      <c r="W335" s="43">
        <v>40</v>
      </c>
      <c r="Y335" s="173" t="s">
        <v>571</v>
      </c>
    </row>
    <row r="336" spans="18:25">
      <c r="R336" s="41" t="s">
        <v>570</v>
      </c>
      <c r="S336" s="41">
        <v>3</v>
      </c>
      <c r="T336" s="41">
        <v>3</v>
      </c>
      <c r="U336" s="42">
        <v>1477</v>
      </c>
      <c r="V336" s="41">
        <v>139.79</v>
      </c>
      <c r="W336" s="43">
        <v>40</v>
      </c>
      <c r="Y336" s="173" t="s">
        <v>576</v>
      </c>
    </row>
    <row r="337" spans="18:25">
      <c r="R337" s="41" t="s">
        <v>570</v>
      </c>
      <c r="S337" s="41">
        <v>3</v>
      </c>
      <c r="T337" s="41">
        <v>4</v>
      </c>
      <c r="U337" s="42">
        <v>1477</v>
      </c>
      <c r="V337" s="41">
        <v>137.97</v>
      </c>
      <c r="W337" s="43">
        <v>40</v>
      </c>
      <c r="Y337" s="173" t="s">
        <v>580</v>
      </c>
    </row>
    <row r="338" spans="18:25">
      <c r="R338" s="41" t="s">
        <v>585</v>
      </c>
      <c r="S338" s="41">
        <v>6</v>
      </c>
      <c r="T338" s="41">
        <v>2</v>
      </c>
      <c r="U338" s="42">
        <v>1842</v>
      </c>
      <c r="V338" s="41">
        <v>135.41</v>
      </c>
      <c r="W338" s="43">
        <v>20</v>
      </c>
      <c r="Y338" s="173" t="s">
        <v>586</v>
      </c>
    </row>
    <row r="339" spans="18:25">
      <c r="R339" s="41" t="s">
        <v>585</v>
      </c>
      <c r="S339" s="41">
        <v>6</v>
      </c>
      <c r="T339" s="41">
        <v>3</v>
      </c>
      <c r="U339" s="42">
        <v>1842</v>
      </c>
      <c r="V339" s="157">
        <v>138.6</v>
      </c>
      <c r="W339" s="43">
        <v>20</v>
      </c>
      <c r="Y339" s="173" t="s">
        <v>589</v>
      </c>
    </row>
    <row r="340" spans="18:25">
      <c r="R340" s="41" t="s">
        <v>585</v>
      </c>
      <c r="S340" s="41">
        <v>6</v>
      </c>
      <c r="T340" s="41">
        <v>4</v>
      </c>
      <c r="U340" s="42">
        <v>1842</v>
      </c>
      <c r="V340" s="41">
        <v>135.63</v>
      </c>
      <c r="W340" s="43">
        <v>20</v>
      </c>
      <c r="Y340" s="173" t="s">
        <v>592</v>
      </c>
    </row>
    <row r="341" spans="18:25">
      <c r="R341" s="41" t="s">
        <v>595</v>
      </c>
      <c r="S341" s="41">
        <v>3</v>
      </c>
      <c r="T341" s="41">
        <v>2</v>
      </c>
      <c r="U341" s="42">
        <v>1396</v>
      </c>
      <c r="V341" s="41">
        <v>137.41999999999999</v>
      </c>
      <c r="W341" s="43">
        <v>30</v>
      </c>
      <c r="Y341" s="173" t="s">
        <v>596</v>
      </c>
    </row>
    <row r="342" spans="18:25">
      <c r="R342" s="41" t="s">
        <v>595</v>
      </c>
      <c r="S342" s="41">
        <v>3</v>
      </c>
      <c r="T342" s="41">
        <v>3</v>
      </c>
      <c r="U342" s="42">
        <v>1396</v>
      </c>
      <c r="V342" s="41">
        <v>139.79</v>
      </c>
      <c r="W342" s="43">
        <v>30</v>
      </c>
      <c r="Y342" s="173" t="s">
        <v>599</v>
      </c>
    </row>
    <row r="343" spans="18:25">
      <c r="R343" s="41" t="s">
        <v>595</v>
      </c>
      <c r="S343" s="41">
        <v>3</v>
      </c>
      <c r="T343" s="41">
        <v>4</v>
      </c>
      <c r="U343" s="42">
        <v>1396</v>
      </c>
      <c r="V343" s="41">
        <v>137.97</v>
      </c>
      <c r="W343" s="43">
        <v>30</v>
      </c>
      <c r="Y343" s="173" t="s">
        <v>603</v>
      </c>
    </row>
    <row r="344" spans="18:25">
      <c r="R344" s="41" t="s">
        <v>606</v>
      </c>
      <c r="S344" s="41">
        <v>5</v>
      </c>
      <c r="T344" s="41">
        <v>2</v>
      </c>
      <c r="U344" s="42">
        <v>1703</v>
      </c>
      <c r="V344" s="41">
        <v>135.41</v>
      </c>
      <c r="W344" s="43">
        <v>40</v>
      </c>
      <c r="Y344" s="173" t="s">
        <v>607</v>
      </c>
    </row>
    <row r="345" spans="18:25">
      <c r="R345" s="41" t="s">
        <v>606</v>
      </c>
      <c r="S345" s="41">
        <v>5</v>
      </c>
      <c r="T345" s="41">
        <v>3</v>
      </c>
      <c r="U345" s="42">
        <v>1703</v>
      </c>
      <c r="V345" s="157">
        <v>138.6</v>
      </c>
      <c r="W345" s="43">
        <v>40</v>
      </c>
      <c r="Y345" s="173" t="s">
        <v>610</v>
      </c>
    </row>
    <row r="346" spans="18:25">
      <c r="R346" s="41" t="s">
        <v>606</v>
      </c>
      <c r="S346" s="41">
        <v>5</v>
      </c>
      <c r="T346" s="41">
        <v>4</v>
      </c>
      <c r="U346" s="42">
        <v>1703</v>
      </c>
      <c r="V346" s="41">
        <v>135.63</v>
      </c>
      <c r="W346" s="43">
        <v>40</v>
      </c>
      <c r="Y346" s="173" t="s">
        <v>613</v>
      </c>
    </row>
    <row r="347" spans="18:25">
      <c r="R347" s="41" t="s">
        <v>616</v>
      </c>
      <c r="S347" s="41">
        <v>2</v>
      </c>
      <c r="T347" s="41">
        <v>2</v>
      </c>
      <c r="U347" s="42">
        <v>1144</v>
      </c>
      <c r="V347" s="41">
        <v>139.69</v>
      </c>
      <c r="W347" s="43">
        <v>10</v>
      </c>
      <c r="Y347" s="173" t="s">
        <v>617</v>
      </c>
    </row>
    <row r="348" spans="18:25">
      <c r="R348" s="41" t="s">
        <v>616</v>
      </c>
      <c r="S348" s="41">
        <v>2</v>
      </c>
      <c r="T348" s="41">
        <v>3</v>
      </c>
      <c r="U348" s="42">
        <v>1144</v>
      </c>
      <c r="V348" s="41">
        <v>140.16999999999999</v>
      </c>
      <c r="W348" s="43">
        <v>10</v>
      </c>
      <c r="Y348" s="173" t="s">
        <v>621</v>
      </c>
    </row>
    <row r="349" spans="18:25">
      <c r="R349" s="41" t="s">
        <v>616</v>
      </c>
      <c r="S349" s="41">
        <v>2</v>
      </c>
      <c r="T349" s="41">
        <v>4</v>
      </c>
      <c r="U349" s="42">
        <v>1144</v>
      </c>
      <c r="V349" s="41">
        <v>139.15</v>
      </c>
      <c r="W349" s="43">
        <v>10</v>
      </c>
      <c r="Y349" s="173" t="s">
        <v>624</v>
      </c>
    </row>
    <row r="350" spans="18:25">
      <c r="R350" s="41" t="s">
        <v>627</v>
      </c>
      <c r="S350" s="41">
        <v>4</v>
      </c>
      <c r="T350" s="41">
        <v>2</v>
      </c>
      <c r="U350" s="42">
        <v>1545</v>
      </c>
      <c r="V350" s="41">
        <v>135.41</v>
      </c>
      <c r="W350" s="43">
        <v>10</v>
      </c>
      <c r="Y350" s="173" t="s">
        <v>628</v>
      </c>
    </row>
    <row r="351" spans="18:25">
      <c r="R351" s="41" t="s">
        <v>627</v>
      </c>
      <c r="S351" s="41">
        <v>4</v>
      </c>
      <c r="T351" s="41">
        <v>3</v>
      </c>
      <c r="U351" s="42">
        <v>1545</v>
      </c>
      <c r="V351" s="157">
        <v>138.6</v>
      </c>
      <c r="W351" s="43">
        <v>10</v>
      </c>
      <c r="Y351" s="173" t="s">
        <v>631</v>
      </c>
    </row>
    <row r="352" spans="18:25">
      <c r="R352" s="41" t="s">
        <v>627</v>
      </c>
      <c r="S352" s="41">
        <v>4</v>
      </c>
      <c r="T352" s="41">
        <v>4</v>
      </c>
      <c r="U352" s="42">
        <v>1545</v>
      </c>
      <c r="V352" s="41">
        <v>135.63</v>
      </c>
      <c r="W352" s="43">
        <v>10</v>
      </c>
      <c r="Y352" s="173" t="s">
        <v>634</v>
      </c>
    </row>
    <row r="353" spans="18:25">
      <c r="R353" s="41" t="s">
        <v>636</v>
      </c>
      <c r="S353" s="41">
        <v>3</v>
      </c>
      <c r="T353" s="41">
        <v>2</v>
      </c>
      <c r="U353" s="42">
        <v>1400</v>
      </c>
      <c r="V353" s="41">
        <v>137.41999999999999</v>
      </c>
      <c r="W353" s="43">
        <v>30</v>
      </c>
      <c r="Y353" s="173" t="s">
        <v>637</v>
      </c>
    </row>
    <row r="354" spans="18:25">
      <c r="R354" s="41" t="s">
        <v>636</v>
      </c>
      <c r="S354" s="41">
        <v>3</v>
      </c>
      <c r="T354" s="41">
        <v>3</v>
      </c>
      <c r="U354" s="42">
        <v>1400</v>
      </c>
      <c r="V354" s="41">
        <v>139.79</v>
      </c>
      <c r="W354" s="43">
        <v>30</v>
      </c>
      <c r="Y354" s="173" t="s">
        <v>640</v>
      </c>
    </row>
    <row r="355" spans="18:25">
      <c r="R355" s="41" t="s">
        <v>636</v>
      </c>
      <c r="S355" s="41">
        <v>3</v>
      </c>
      <c r="T355" s="41">
        <v>4</v>
      </c>
      <c r="U355" s="42">
        <v>1400</v>
      </c>
      <c r="V355" s="41">
        <v>137.97</v>
      </c>
      <c r="W355" s="43">
        <v>30</v>
      </c>
      <c r="Y355" s="173" t="s">
        <v>642</v>
      </c>
    </row>
    <row r="356" spans="18:25">
      <c r="R356" s="41" t="s">
        <v>644</v>
      </c>
      <c r="S356" s="41">
        <v>2</v>
      </c>
      <c r="T356" s="41">
        <v>2</v>
      </c>
      <c r="U356" s="42">
        <v>1143</v>
      </c>
      <c r="V356" s="41">
        <v>139.69</v>
      </c>
      <c r="W356" s="43">
        <v>10</v>
      </c>
      <c r="Y356" s="173" t="s">
        <v>645</v>
      </c>
    </row>
    <row r="357" spans="18:25">
      <c r="R357" s="41" t="s">
        <v>644</v>
      </c>
      <c r="S357" s="41">
        <v>2</v>
      </c>
      <c r="T357" s="41">
        <v>3</v>
      </c>
      <c r="U357" s="42">
        <v>1143</v>
      </c>
      <c r="V357" s="41">
        <v>140.16999999999999</v>
      </c>
      <c r="W357" s="43">
        <v>10</v>
      </c>
      <c r="Y357" s="173" t="s">
        <v>648</v>
      </c>
    </row>
    <row r="358" spans="18:25">
      <c r="R358" s="41" t="s">
        <v>644</v>
      </c>
      <c r="S358" s="41">
        <v>2</v>
      </c>
      <c r="T358" s="41">
        <v>4</v>
      </c>
      <c r="U358" s="42">
        <v>1143</v>
      </c>
      <c r="V358" s="41">
        <v>139.15</v>
      </c>
      <c r="W358" s="43">
        <v>10</v>
      </c>
      <c r="Y358" s="173" t="s">
        <v>651</v>
      </c>
    </row>
    <row r="359" spans="18:25">
      <c r="R359" s="41" t="s">
        <v>654</v>
      </c>
      <c r="S359" s="41">
        <v>2</v>
      </c>
      <c r="T359" s="41">
        <v>2</v>
      </c>
      <c r="U359" s="42">
        <v>1320</v>
      </c>
      <c r="V359" s="41">
        <v>139.69</v>
      </c>
      <c r="W359" s="43">
        <v>35</v>
      </c>
      <c r="Y359" s="173" t="s">
        <v>655</v>
      </c>
    </row>
    <row r="360" spans="18:25">
      <c r="R360" s="41" t="s">
        <v>654</v>
      </c>
      <c r="S360" s="41">
        <v>2</v>
      </c>
      <c r="T360" s="41">
        <v>3</v>
      </c>
      <c r="U360" s="42">
        <v>1320</v>
      </c>
      <c r="V360" s="41">
        <v>140.16999999999999</v>
      </c>
      <c r="W360" s="43">
        <v>35</v>
      </c>
      <c r="Y360" s="173" t="s">
        <v>658</v>
      </c>
    </row>
    <row r="361" spans="18:25">
      <c r="R361" s="41" t="s">
        <v>654</v>
      </c>
      <c r="S361" s="41">
        <v>2</v>
      </c>
      <c r="T361" s="41">
        <v>4</v>
      </c>
      <c r="U361" s="42">
        <v>1320</v>
      </c>
      <c r="V361" s="41">
        <v>139.15</v>
      </c>
      <c r="W361" s="43">
        <v>35</v>
      </c>
      <c r="Y361" s="173" t="s">
        <v>661</v>
      </c>
    </row>
    <row r="362" spans="18:25">
      <c r="Y362" s="173"/>
    </row>
    <row r="363" spans="18:25">
      <c r="S363" s="52" t="s">
        <v>531</v>
      </c>
      <c r="Y363" s="173"/>
    </row>
    <row r="364" spans="18:25">
      <c r="R364" s="429" t="s">
        <v>490</v>
      </c>
      <c r="S364" s="430"/>
      <c r="T364" s="430"/>
      <c r="U364" s="430"/>
      <c r="V364" s="430"/>
      <c r="W364" s="431"/>
      <c r="Y364" s="171" t="s">
        <v>478</v>
      </c>
    </row>
    <row r="365" spans="18:25">
      <c r="R365" s="16" t="s">
        <v>497</v>
      </c>
      <c r="S365" s="16" t="s">
        <v>498</v>
      </c>
      <c r="T365" s="16" t="s">
        <v>483</v>
      </c>
      <c r="U365" s="16" t="s">
        <v>499</v>
      </c>
      <c r="V365" s="16" t="s">
        <v>500</v>
      </c>
      <c r="W365" s="17" t="s">
        <v>501</v>
      </c>
      <c r="Y365" s="172" t="s">
        <v>502</v>
      </c>
    </row>
    <row r="366" spans="18:25">
      <c r="R366" s="41" t="s">
        <v>508</v>
      </c>
      <c r="S366" s="41">
        <v>2</v>
      </c>
      <c r="T366" s="41">
        <v>2</v>
      </c>
      <c r="U366" s="42">
        <v>1356</v>
      </c>
      <c r="V366" s="41">
        <v>139.69</v>
      </c>
      <c r="W366" s="43">
        <v>40</v>
      </c>
      <c r="Y366" s="173" t="s">
        <v>509</v>
      </c>
    </row>
    <row r="367" spans="18:25">
      <c r="R367" s="41" t="s">
        <v>508</v>
      </c>
      <c r="S367" s="41">
        <v>2</v>
      </c>
      <c r="T367" s="41">
        <v>3</v>
      </c>
      <c r="U367" s="42">
        <v>1356</v>
      </c>
      <c r="V367" s="41">
        <v>140.16999999999999</v>
      </c>
      <c r="W367" s="43">
        <v>40</v>
      </c>
      <c r="Y367" s="173" t="s">
        <v>514</v>
      </c>
    </row>
    <row r="368" spans="18:25">
      <c r="R368" s="41" t="s">
        <v>508</v>
      </c>
      <c r="S368" s="41">
        <v>2</v>
      </c>
      <c r="T368" s="41">
        <v>4</v>
      </c>
      <c r="U368" s="42">
        <v>1356</v>
      </c>
      <c r="V368" s="41">
        <v>139.15</v>
      </c>
      <c r="W368" s="43">
        <v>40</v>
      </c>
      <c r="Y368" s="173" t="s">
        <v>518</v>
      </c>
    </row>
    <row r="369" spans="18:25">
      <c r="R369" s="41" t="s">
        <v>524</v>
      </c>
      <c r="S369" s="41">
        <v>4</v>
      </c>
      <c r="T369" s="41">
        <v>2</v>
      </c>
      <c r="U369" s="42">
        <v>1517</v>
      </c>
      <c r="V369" s="41">
        <v>135.41</v>
      </c>
      <c r="W369" s="43">
        <v>40</v>
      </c>
      <c r="Y369" s="173" t="s">
        <v>525</v>
      </c>
    </row>
    <row r="370" spans="18:25">
      <c r="R370" s="41" t="s">
        <v>524</v>
      </c>
      <c r="S370" s="41">
        <v>4</v>
      </c>
      <c r="T370" s="41">
        <v>3</v>
      </c>
      <c r="U370" s="42">
        <v>1517</v>
      </c>
      <c r="V370" s="157">
        <v>138.6</v>
      </c>
      <c r="W370" s="43">
        <v>40</v>
      </c>
      <c r="Y370" s="173" t="s">
        <v>529</v>
      </c>
    </row>
    <row r="371" spans="18:25">
      <c r="R371" s="41" t="s">
        <v>524</v>
      </c>
      <c r="S371" s="41">
        <v>4</v>
      </c>
      <c r="T371" s="41">
        <v>4</v>
      </c>
      <c r="U371" s="42">
        <v>1517</v>
      </c>
      <c r="V371" s="41">
        <v>135.63</v>
      </c>
      <c r="W371" s="43">
        <v>40</v>
      </c>
      <c r="Y371" s="173" t="s">
        <v>533</v>
      </c>
    </row>
    <row r="372" spans="18:25">
      <c r="R372" s="41" t="s">
        <v>538</v>
      </c>
      <c r="S372" s="41">
        <v>2</v>
      </c>
      <c r="T372" s="41">
        <v>2</v>
      </c>
      <c r="U372" s="42">
        <v>1231</v>
      </c>
      <c r="V372" s="41">
        <v>139.69</v>
      </c>
      <c r="W372" s="43">
        <v>30</v>
      </c>
      <c r="Y372" s="173" t="s">
        <v>539</v>
      </c>
    </row>
    <row r="373" spans="18:25">
      <c r="R373" s="41" t="s">
        <v>538</v>
      </c>
      <c r="S373" s="41">
        <v>2</v>
      </c>
      <c r="T373" s="41">
        <v>3</v>
      </c>
      <c r="U373" s="42">
        <v>1231</v>
      </c>
      <c r="V373" s="41">
        <v>140.16999999999999</v>
      </c>
      <c r="W373" s="43">
        <v>30</v>
      </c>
      <c r="Y373" s="173" t="s">
        <v>544</v>
      </c>
    </row>
    <row r="374" spans="18:25">
      <c r="R374" s="41" t="s">
        <v>538</v>
      </c>
      <c r="S374" s="41">
        <v>2</v>
      </c>
      <c r="T374" s="41">
        <v>4</v>
      </c>
      <c r="U374" s="42">
        <v>1231</v>
      </c>
      <c r="V374" s="41">
        <v>139.15</v>
      </c>
      <c r="W374" s="43">
        <v>30</v>
      </c>
      <c r="Y374" s="173" t="s">
        <v>549</v>
      </c>
    </row>
    <row r="375" spans="18:25">
      <c r="R375" s="41" t="s">
        <v>555</v>
      </c>
      <c r="S375" s="41">
        <v>2</v>
      </c>
      <c r="T375" s="41">
        <v>2</v>
      </c>
      <c r="U375" s="42">
        <v>1284</v>
      </c>
      <c r="V375" s="41">
        <v>139.69</v>
      </c>
      <c r="W375" s="43">
        <v>10</v>
      </c>
      <c r="Y375" s="173" t="s">
        <v>556</v>
      </c>
    </row>
    <row r="376" spans="18:25">
      <c r="R376" s="41" t="s">
        <v>555</v>
      </c>
      <c r="S376" s="41">
        <v>2</v>
      </c>
      <c r="T376" s="41">
        <v>3</v>
      </c>
      <c r="U376" s="42">
        <v>1284</v>
      </c>
      <c r="V376" s="41">
        <v>140.16999999999999</v>
      </c>
      <c r="W376" s="43">
        <v>10</v>
      </c>
      <c r="Y376" s="173" t="s">
        <v>561</v>
      </c>
    </row>
    <row r="377" spans="18:25">
      <c r="R377" s="41" t="s">
        <v>555</v>
      </c>
      <c r="S377" s="41">
        <v>2</v>
      </c>
      <c r="T377" s="41">
        <v>4</v>
      </c>
      <c r="U377" s="42">
        <v>1284</v>
      </c>
      <c r="V377" s="41">
        <v>139.15</v>
      </c>
      <c r="W377" s="43">
        <v>10</v>
      </c>
      <c r="Y377" s="173" t="s">
        <v>566</v>
      </c>
    </row>
    <row r="378" spans="18:25">
      <c r="R378" s="41" t="s">
        <v>570</v>
      </c>
      <c r="S378" s="41">
        <v>3</v>
      </c>
      <c r="T378" s="41">
        <v>2</v>
      </c>
      <c r="U378" s="42">
        <v>1477</v>
      </c>
      <c r="V378" s="41">
        <v>137.41999999999999</v>
      </c>
      <c r="W378" s="43">
        <v>40</v>
      </c>
      <c r="Y378" s="173" t="s">
        <v>571</v>
      </c>
    </row>
    <row r="379" spans="18:25">
      <c r="R379" s="41" t="s">
        <v>570</v>
      </c>
      <c r="S379" s="41">
        <v>3</v>
      </c>
      <c r="T379" s="41">
        <v>3</v>
      </c>
      <c r="U379" s="42">
        <v>1477</v>
      </c>
      <c r="V379" s="41">
        <v>139.79</v>
      </c>
      <c r="W379" s="43">
        <v>40</v>
      </c>
      <c r="Y379" s="173" t="s">
        <v>576</v>
      </c>
    </row>
    <row r="380" spans="18:25">
      <c r="R380" s="41" t="s">
        <v>570</v>
      </c>
      <c r="S380" s="41">
        <v>3</v>
      </c>
      <c r="T380" s="41">
        <v>4</v>
      </c>
      <c r="U380" s="42">
        <v>1477</v>
      </c>
      <c r="V380" s="41">
        <v>137.97</v>
      </c>
      <c r="W380" s="43">
        <v>40</v>
      </c>
      <c r="Y380" s="173" t="s">
        <v>580</v>
      </c>
    </row>
    <row r="381" spans="18:25">
      <c r="R381" s="41" t="s">
        <v>585</v>
      </c>
      <c r="S381" s="41">
        <v>6</v>
      </c>
      <c r="T381" s="41">
        <v>2</v>
      </c>
      <c r="U381" s="42">
        <v>1842</v>
      </c>
      <c r="V381" s="41">
        <v>135.41</v>
      </c>
      <c r="W381" s="43">
        <v>20</v>
      </c>
      <c r="Y381" s="173" t="s">
        <v>586</v>
      </c>
    </row>
    <row r="382" spans="18:25">
      <c r="R382" s="41" t="s">
        <v>585</v>
      </c>
      <c r="S382" s="41">
        <v>6</v>
      </c>
      <c r="T382" s="41">
        <v>3</v>
      </c>
      <c r="U382" s="42">
        <v>1842</v>
      </c>
      <c r="V382" s="157">
        <v>138.6</v>
      </c>
      <c r="W382" s="43">
        <v>20</v>
      </c>
      <c r="Y382" s="173" t="s">
        <v>589</v>
      </c>
    </row>
    <row r="383" spans="18:25">
      <c r="R383" s="41" t="s">
        <v>585</v>
      </c>
      <c r="S383" s="41">
        <v>6</v>
      </c>
      <c r="T383" s="41">
        <v>4</v>
      </c>
      <c r="U383" s="42">
        <v>1842</v>
      </c>
      <c r="V383" s="41">
        <v>135.63</v>
      </c>
      <c r="W383" s="43">
        <v>20</v>
      </c>
      <c r="Y383" s="173" t="s">
        <v>592</v>
      </c>
    </row>
    <row r="384" spans="18:25">
      <c r="R384" s="41" t="s">
        <v>595</v>
      </c>
      <c r="S384" s="41">
        <v>3</v>
      </c>
      <c r="T384" s="41">
        <v>2</v>
      </c>
      <c r="U384" s="42">
        <v>1396</v>
      </c>
      <c r="V384" s="41">
        <v>137.41999999999999</v>
      </c>
      <c r="W384" s="43">
        <v>30</v>
      </c>
      <c r="Y384" s="173" t="s">
        <v>596</v>
      </c>
    </row>
    <row r="385" spans="18:25">
      <c r="R385" s="41" t="s">
        <v>595</v>
      </c>
      <c r="S385" s="41">
        <v>3</v>
      </c>
      <c r="T385" s="41">
        <v>3</v>
      </c>
      <c r="U385" s="42">
        <v>1396</v>
      </c>
      <c r="V385" s="41">
        <v>139.79</v>
      </c>
      <c r="W385" s="43">
        <v>30</v>
      </c>
      <c r="Y385" s="173" t="s">
        <v>599</v>
      </c>
    </row>
    <row r="386" spans="18:25">
      <c r="R386" s="41" t="s">
        <v>595</v>
      </c>
      <c r="S386" s="41">
        <v>3</v>
      </c>
      <c r="T386" s="41">
        <v>4</v>
      </c>
      <c r="U386" s="42">
        <v>1396</v>
      </c>
      <c r="V386" s="41">
        <v>137.97</v>
      </c>
      <c r="W386" s="43">
        <v>30</v>
      </c>
      <c r="Y386" s="173" t="s">
        <v>603</v>
      </c>
    </row>
    <row r="387" spans="18:25">
      <c r="R387" s="41" t="s">
        <v>606</v>
      </c>
      <c r="S387" s="41">
        <v>5</v>
      </c>
      <c r="T387" s="41">
        <v>2</v>
      </c>
      <c r="U387" s="42">
        <v>1703</v>
      </c>
      <c r="V387" s="41">
        <v>135.41</v>
      </c>
      <c r="W387" s="43">
        <v>40</v>
      </c>
      <c r="Y387" s="173" t="s">
        <v>607</v>
      </c>
    </row>
    <row r="388" spans="18:25">
      <c r="R388" s="41" t="s">
        <v>606</v>
      </c>
      <c r="S388" s="41">
        <v>5</v>
      </c>
      <c r="T388" s="41">
        <v>3</v>
      </c>
      <c r="U388" s="42">
        <v>1703</v>
      </c>
      <c r="V388" s="157">
        <v>138.6</v>
      </c>
      <c r="W388" s="43">
        <v>40</v>
      </c>
      <c r="Y388" s="173" t="s">
        <v>610</v>
      </c>
    </row>
    <row r="389" spans="18:25">
      <c r="R389" s="41" t="s">
        <v>606</v>
      </c>
      <c r="S389" s="41">
        <v>5</v>
      </c>
      <c r="T389" s="41">
        <v>4</v>
      </c>
      <c r="U389" s="42">
        <v>1703</v>
      </c>
      <c r="V389" s="41">
        <v>135.63</v>
      </c>
      <c r="W389" s="43">
        <v>40</v>
      </c>
      <c r="Y389" s="173" t="s">
        <v>613</v>
      </c>
    </row>
    <row r="390" spans="18:25">
      <c r="R390" s="41" t="s">
        <v>616</v>
      </c>
      <c r="S390" s="41">
        <v>2</v>
      </c>
      <c r="T390" s="41">
        <v>2</v>
      </c>
      <c r="U390" s="42">
        <v>1144</v>
      </c>
      <c r="V390" s="41">
        <v>139.69</v>
      </c>
      <c r="W390" s="43">
        <v>10</v>
      </c>
      <c r="Y390" s="173" t="s">
        <v>617</v>
      </c>
    </row>
    <row r="391" spans="18:25">
      <c r="R391" s="41" t="s">
        <v>616</v>
      </c>
      <c r="S391" s="41">
        <v>2</v>
      </c>
      <c r="T391" s="41">
        <v>3</v>
      </c>
      <c r="U391" s="42">
        <v>1144</v>
      </c>
      <c r="V391" s="41">
        <v>140.16999999999999</v>
      </c>
      <c r="W391" s="43">
        <v>10</v>
      </c>
      <c r="Y391" s="173" t="s">
        <v>621</v>
      </c>
    </row>
    <row r="392" spans="18:25">
      <c r="R392" s="41" t="s">
        <v>616</v>
      </c>
      <c r="S392" s="41">
        <v>2</v>
      </c>
      <c r="T392" s="41">
        <v>4</v>
      </c>
      <c r="U392" s="42">
        <v>1144</v>
      </c>
      <c r="V392" s="41">
        <v>139.15</v>
      </c>
      <c r="W392" s="43">
        <v>10</v>
      </c>
      <c r="Y392" s="173" t="s">
        <v>624</v>
      </c>
    </row>
    <row r="393" spans="18:25">
      <c r="R393" s="41" t="s">
        <v>627</v>
      </c>
      <c r="S393" s="41">
        <v>4</v>
      </c>
      <c r="T393" s="41">
        <v>2</v>
      </c>
      <c r="U393" s="42">
        <v>1545</v>
      </c>
      <c r="V393" s="41">
        <v>135.41</v>
      </c>
      <c r="W393" s="43">
        <v>10</v>
      </c>
      <c r="Y393" s="173" t="s">
        <v>628</v>
      </c>
    </row>
    <row r="394" spans="18:25">
      <c r="R394" s="41" t="s">
        <v>627</v>
      </c>
      <c r="S394" s="41">
        <v>4</v>
      </c>
      <c r="T394" s="41">
        <v>3</v>
      </c>
      <c r="U394" s="42">
        <v>1545</v>
      </c>
      <c r="V394" s="157">
        <v>138.6</v>
      </c>
      <c r="W394" s="43">
        <v>10</v>
      </c>
      <c r="Y394" s="173" t="s">
        <v>631</v>
      </c>
    </row>
    <row r="395" spans="18:25">
      <c r="R395" s="41" t="s">
        <v>627</v>
      </c>
      <c r="S395" s="41">
        <v>4</v>
      </c>
      <c r="T395" s="41">
        <v>4</v>
      </c>
      <c r="U395" s="42">
        <v>1545</v>
      </c>
      <c r="V395" s="41">
        <v>135.63</v>
      </c>
      <c r="W395" s="43">
        <v>10</v>
      </c>
      <c r="Y395" s="173" t="s">
        <v>634</v>
      </c>
    </row>
    <row r="396" spans="18:25">
      <c r="R396" s="41" t="s">
        <v>636</v>
      </c>
      <c r="S396" s="41">
        <v>3</v>
      </c>
      <c r="T396" s="41">
        <v>2</v>
      </c>
      <c r="U396" s="42">
        <v>1400</v>
      </c>
      <c r="V396" s="41">
        <v>137.41999999999999</v>
      </c>
      <c r="W396" s="43">
        <v>30</v>
      </c>
      <c r="Y396" s="173" t="s">
        <v>637</v>
      </c>
    </row>
    <row r="397" spans="18:25">
      <c r="R397" s="41" t="s">
        <v>636</v>
      </c>
      <c r="S397" s="41">
        <v>3</v>
      </c>
      <c r="T397" s="41">
        <v>3</v>
      </c>
      <c r="U397" s="42">
        <v>1400</v>
      </c>
      <c r="V397" s="41">
        <v>139.79</v>
      </c>
      <c r="W397" s="43">
        <v>30</v>
      </c>
      <c r="Y397" s="173" t="s">
        <v>640</v>
      </c>
    </row>
    <row r="398" spans="18:25">
      <c r="R398" s="41" t="s">
        <v>636</v>
      </c>
      <c r="S398" s="41">
        <v>3</v>
      </c>
      <c r="T398" s="41">
        <v>4</v>
      </c>
      <c r="U398" s="42">
        <v>1400</v>
      </c>
      <c r="V398" s="41">
        <v>137.97</v>
      </c>
      <c r="W398" s="43">
        <v>30</v>
      </c>
      <c r="Y398" s="173" t="s">
        <v>642</v>
      </c>
    </row>
    <row r="399" spans="18:25">
      <c r="R399" s="41" t="s">
        <v>644</v>
      </c>
      <c r="S399" s="41">
        <v>2</v>
      </c>
      <c r="T399" s="41">
        <v>2</v>
      </c>
      <c r="U399" s="42">
        <v>1143</v>
      </c>
      <c r="V399" s="41">
        <v>139.69</v>
      </c>
      <c r="W399" s="43">
        <v>10</v>
      </c>
      <c r="Y399" s="173" t="s">
        <v>645</v>
      </c>
    </row>
    <row r="400" spans="18:25">
      <c r="R400" s="41" t="s">
        <v>644</v>
      </c>
      <c r="S400" s="41">
        <v>2</v>
      </c>
      <c r="T400" s="41">
        <v>3</v>
      </c>
      <c r="U400" s="42">
        <v>1143</v>
      </c>
      <c r="V400" s="41">
        <v>140.16999999999999</v>
      </c>
      <c r="W400" s="43">
        <v>10</v>
      </c>
      <c r="Y400" s="173" t="s">
        <v>648</v>
      </c>
    </row>
    <row r="401" spans="18:25">
      <c r="R401" s="41" t="s">
        <v>644</v>
      </c>
      <c r="S401" s="41">
        <v>2</v>
      </c>
      <c r="T401" s="41">
        <v>4</v>
      </c>
      <c r="U401" s="42">
        <v>1143</v>
      </c>
      <c r="V401" s="41">
        <v>139.15</v>
      </c>
      <c r="W401" s="43">
        <v>10</v>
      </c>
      <c r="Y401" s="173" t="s">
        <v>651</v>
      </c>
    </row>
    <row r="402" spans="18:25">
      <c r="R402" s="41" t="s">
        <v>654</v>
      </c>
      <c r="S402" s="41">
        <v>2</v>
      </c>
      <c r="T402" s="41">
        <v>2</v>
      </c>
      <c r="U402" s="42">
        <v>1320</v>
      </c>
      <c r="V402" s="41">
        <v>139.69</v>
      </c>
      <c r="W402" s="43">
        <v>35</v>
      </c>
      <c r="Y402" s="173" t="s">
        <v>655</v>
      </c>
    </row>
    <row r="403" spans="18:25">
      <c r="R403" s="41" t="s">
        <v>654</v>
      </c>
      <c r="S403" s="41">
        <v>2</v>
      </c>
      <c r="T403" s="41">
        <v>3</v>
      </c>
      <c r="U403" s="42">
        <v>1320</v>
      </c>
      <c r="V403" s="41">
        <v>140.16999999999999</v>
      </c>
      <c r="W403" s="43">
        <v>35</v>
      </c>
      <c r="Y403" s="173" t="s">
        <v>658</v>
      </c>
    </row>
    <row r="404" spans="18:25">
      <c r="R404" s="41" t="s">
        <v>654</v>
      </c>
      <c r="S404" s="41">
        <v>2</v>
      </c>
      <c r="T404" s="41">
        <v>4</v>
      </c>
      <c r="U404" s="42">
        <v>1320</v>
      </c>
      <c r="V404" s="41">
        <v>139.15</v>
      </c>
      <c r="W404" s="43">
        <v>35</v>
      </c>
      <c r="Y404" s="173" t="s">
        <v>661</v>
      </c>
    </row>
    <row r="405" spans="18:25">
      <c r="Y405" s="173"/>
    </row>
    <row r="406" spans="18:25">
      <c r="S406" s="52" t="s">
        <v>535</v>
      </c>
      <c r="Y406" s="173"/>
    </row>
    <row r="407" spans="18:25">
      <c r="R407" s="429" t="s">
        <v>490</v>
      </c>
      <c r="S407" s="430"/>
      <c r="T407" s="430"/>
      <c r="U407" s="430"/>
      <c r="V407" s="430"/>
      <c r="W407" s="431"/>
      <c r="Y407" s="171" t="s">
        <v>478</v>
      </c>
    </row>
    <row r="408" spans="18:25">
      <c r="R408" s="16" t="s">
        <v>497</v>
      </c>
      <c r="S408" s="16" t="s">
        <v>498</v>
      </c>
      <c r="T408" s="16" t="s">
        <v>483</v>
      </c>
      <c r="U408" s="16" t="s">
        <v>499</v>
      </c>
      <c r="V408" s="16" t="s">
        <v>500</v>
      </c>
      <c r="W408" s="17" t="s">
        <v>501</v>
      </c>
      <c r="Y408" s="172" t="s">
        <v>502</v>
      </c>
    </row>
    <row r="409" spans="18:25">
      <c r="R409" s="41" t="s">
        <v>508</v>
      </c>
      <c r="S409" s="41">
        <v>2</v>
      </c>
      <c r="T409" s="41">
        <v>2</v>
      </c>
      <c r="U409" s="42">
        <v>1356</v>
      </c>
      <c r="V409" s="41">
        <v>139.69</v>
      </c>
      <c r="W409" s="43">
        <v>40</v>
      </c>
      <c r="Y409" s="173" t="s">
        <v>509</v>
      </c>
    </row>
    <row r="410" spans="18:25">
      <c r="R410" s="41" t="s">
        <v>508</v>
      </c>
      <c r="S410" s="41">
        <v>2</v>
      </c>
      <c r="T410" s="41">
        <v>3</v>
      </c>
      <c r="U410" s="42">
        <v>1356</v>
      </c>
      <c r="V410" s="41">
        <v>140.16999999999999</v>
      </c>
      <c r="W410" s="43">
        <v>40</v>
      </c>
      <c r="Y410" s="173" t="s">
        <v>514</v>
      </c>
    </row>
    <row r="411" spans="18:25">
      <c r="R411" s="41" t="s">
        <v>508</v>
      </c>
      <c r="S411" s="41">
        <v>2</v>
      </c>
      <c r="T411" s="41">
        <v>4</v>
      </c>
      <c r="U411" s="42">
        <v>1356</v>
      </c>
      <c r="V411" s="41">
        <v>139.15</v>
      </c>
      <c r="W411" s="43">
        <v>40</v>
      </c>
      <c r="Y411" s="173" t="s">
        <v>518</v>
      </c>
    </row>
    <row r="412" spans="18:25">
      <c r="R412" s="41" t="s">
        <v>524</v>
      </c>
      <c r="S412" s="41">
        <v>4</v>
      </c>
      <c r="T412" s="41">
        <v>2</v>
      </c>
      <c r="U412" s="42">
        <v>1517</v>
      </c>
      <c r="V412" s="41">
        <v>135.41</v>
      </c>
      <c r="W412" s="43">
        <v>40</v>
      </c>
      <c r="Y412" s="173" t="s">
        <v>525</v>
      </c>
    </row>
    <row r="413" spans="18:25">
      <c r="R413" s="41" t="s">
        <v>524</v>
      </c>
      <c r="S413" s="41">
        <v>4</v>
      </c>
      <c r="T413" s="41">
        <v>3</v>
      </c>
      <c r="U413" s="42">
        <v>1517</v>
      </c>
      <c r="V413" s="157">
        <v>138.6</v>
      </c>
      <c r="W413" s="43">
        <v>40</v>
      </c>
      <c r="Y413" s="173" t="s">
        <v>529</v>
      </c>
    </row>
    <row r="414" spans="18:25">
      <c r="R414" s="41" t="s">
        <v>524</v>
      </c>
      <c r="S414" s="41">
        <v>4</v>
      </c>
      <c r="T414" s="41">
        <v>4</v>
      </c>
      <c r="U414" s="42">
        <v>1517</v>
      </c>
      <c r="V414" s="41">
        <v>135.63</v>
      </c>
      <c r="W414" s="43">
        <v>40</v>
      </c>
      <c r="Y414" s="173" t="s">
        <v>533</v>
      </c>
    </row>
    <row r="415" spans="18:25">
      <c r="R415" s="41" t="s">
        <v>538</v>
      </c>
      <c r="S415" s="41">
        <v>2</v>
      </c>
      <c r="T415" s="41">
        <v>2</v>
      </c>
      <c r="U415" s="42">
        <v>1231</v>
      </c>
      <c r="V415" s="41">
        <v>139.69</v>
      </c>
      <c r="W415" s="43">
        <v>30</v>
      </c>
      <c r="Y415" s="173" t="s">
        <v>539</v>
      </c>
    </row>
    <row r="416" spans="18:25">
      <c r="R416" s="41" t="s">
        <v>538</v>
      </c>
      <c r="S416" s="41">
        <v>2</v>
      </c>
      <c r="T416" s="41">
        <v>3</v>
      </c>
      <c r="U416" s="42">
        <v>1231</v>
      </c>
      <c r="V416" s="41">
        <v>140.16999999999999</v>
      </c>
      <c r="W416" s="43">
        <v>30</v>
      </c>
      <c r="Y416" s="173" t="s">
        <v>544</v>
      </c>
    </row>
    <row r="417" spans="18:25">
      <c r="R417" s="41" t="s">
        <v>538</v>
      </c>
      <c r="S417" s="41">
        <v>2</v>
      </c>
      <c r="T417" s="41">
        <v>4</v>
      </c>
      <c r="U417" s="42">
        <v>1231</v>
      </c>
      <c r="V417" s="41">
        <v>139.15</v>
      </c>
      <c r="W417" s="43">
        <v>30</v>
      </c>
      <c r="Y417" s="173" t="s">
        <v>549</v>
      </c>
    </row>
    <row r="418" spans="18:25">
      <c r="R418" s="41" t="s">
        <v>555</v>
      </c>
      <c r="S418" s="41">
        <v>2</v>
      </c>
      <c r="T418" s="41">
        <v>2</v>
      </c>
      <c r="U418" s="42">
        <v>1284</v>
      </c>
      <c r="V418" s="41">
        <v>139.69</v>
      </c>
      <c r="W418" s="43">
        <v>10</v>
      </c>
      <c r="Y418" s="173" t="s">
        <v>556</v>
      </c>
    </row>
    <row r="419" spans="18:25">
      <c r="R419" s="41" t="s">
        <v>555</v>
      </c>
      <c r="S419" s="41">
        <v>2</v>
      </c>
      <c r="T419" s="41">
        <v>3</v>
      </c>
      <c r="U419" s="42">
        <v>1284</v>
      </c>
      <c r="V419" s="41">
        <v>140.16999999999999</v>
      </c>
      <c r="W419" s="43">
        <v>10</v>
      </c>
      <c r="Y419" s="173" t="s">
        <v>561</v>
      </c>
    </row>
    <row r="420" spans="18:25">
      <c r="R420" s="41" t="s">
        <v>555</v>
      </c>
      <c r="S420" s="41">
        <v>2</v>
      </c>
      <c r="T420" s="41">
        <v>4</v>
      </c>
      <c r="U420" s="42">
        <v>1284</v>
      </c>
      <c r="V420" s="41">
        <v>139.15</v>
      </c>
      <c r="W420" s="43">
        <v>10</v>
      </c>
      <c r="Y420" s="173" t="s">
        <v>566</v>
      </c>
    </row>
    <row r="421" spans="18:25">
      <c r="R421" s="41" t="s">
        <v>570</v>
      </c>
      <c r="S421" s="41">
        <v>3</v>
      </c>
      <c r="T421" s="41">
        <v>2</v>
      </c>
      <c r="U421" s="42">
        <v>1477</v>
      </c>
      <c r="V421" s="41">
        <v>137.41999999999999</v>
      </c>
      <c r="W421" s="43">
        <v>40</v>
      </c>
      <c r="Y421" s="173" t="s">
        <v>571</v>
      </c>
    </row>
    <row r="422" spans="18:25">
      <c r="R422" s="41" t="s">
        <v>570</v>
      </c>
      <c r="S422" s="41">
        <v>3</v>
      </c>
      <c r="T422" s="41">
        <v>3</v>
      </c>
      <c r="U422" s="42">
        <v>1477</v>
      </c>
      <c r="V422" s="41">
        <v>139.79</v>
      </c>
      <c r="W422" s="43">
        <v>40</v>
      </c>
      <c r="Y422" s="173" t="s">
        <v>576</v>
      </c>
    </row>
    <row r="423" spans="18:25">
      <c r="R423" s="41" t="s">
        <v>570</v>
      </c>
      <c r="S423" s="41">
        <v>3</v>
      </c>
      <c r="T423" s="41">
        <v>4</v>
      </c>
      <c r="U423" s="42">
        <v>1477</v>
      </c>
      <c r="V423" s="41">
        <v>137.97</v>
      </c>
      <c r="W423" s="43">
        <v>40</v>
      </c>
      <c r="Y423" s="173" t="s">
        <v>580</v>
      </c>
    </row>
    <row r="424" spans="18:25">
      <c r="R424" s="41" t="s">
        <v>585</v>
      </c>
      <c r="S424" s="41">
        <v>6</v>
      </c>
      <c r="T424" s="41">
        <v>2</v>
      </c>
      <c r="U424" s="42">
        <v>1842</v>
      </c>
      <c r="V424" s="41">
        <v>135.41</v>
      </c>
      <c r="W424" s="43">
        <v>20</v>
      </c>
      <c r="Y424" s="173" t="s">
        <v>586</v>
      </c>
    </row>
    <row r="425" spans="18:25">
      <c r="R425" s="41" t="s">
        <v>585</v>
      </c>
      <c r="S425" s="41">
        <v>6</v>
      </c>
      <c r="T425" s="41">
        <v>3</v>
      </c>
      <c r="U425" s="42">
        <v>1842</v>
      </c>
      <c r="V425" s="157">
        <v>138.6</v>
      </c>
      <c r="W425" s="43">
        <v>20</v>
      </c>
      <c r="Y425" s="173" t="s">
        <v>589</v>
      </c>
    </row>
    <row r="426" spans="18:25">
      <c r="R426" s="41" t="s">
        <v>585</v>
      </c>
      <c r="S426" s="41">
        <v>6</v>
      </c>
      <c r="T426" s="41">
        <v>4</v>
      </c>
      <c r="U426" s="42">
        <v>1842</v>
      </c>
      <c r="V426" s="41">
        <v>135.63</v>
      </c>
      <c r="W426" s="43">
        <v>20</v>
      </c>
      <c r="Y426" s="173" t="s">
        <v>592</v>
      </c>
    </row>
    <row r="427" spans="18:25">
      <c r="R427" s="41" t="s">
        <v>595</v>
      </c>
      <c r="S427" s="41">
        <v>3</v>
      </c>
      <c r="T427" s="41">
        <v>2</v>
      </c>
      <c r="U427" s="42">
        <v>1396</v>
      </c>
      <c r="V427" s="41">
        <v>137.41999999999999</v>
      </c>
      <c r="W427" s="43">
        <v>30</v>
      </c>
      <c r="Y427" s="173" t="s">
        <v>596</v>
      </c>
    </row>
    <row r="428" spans="18:25">
      <c r="R428" s="41" t="s">
        <v>595</v>
      </c>
      <c r="S428" s="41">
        <v>3</v>
      </c>
      <c r="T428" s="41">
        <v>3</v>
      </c>
      <c r="U428" s="42">
        <v>1396</v>
      </c>
      <c r="V428" s="41">
        <v>139.79</v>
      </c>
      <c r="W428" s="43">
        <v>30</v>
      </c>
      <c r="Y428" s="173" t="s">
        <v>599</v>
      </c>
    </row>
    <row r="429" spans="18:25">
      <c r="R429" s="41" t="s">
        <v>595</v>
      </c>
      <c r="S429" s="41">
        <v>3</v>
      </c>
      <c r="T429" s="41">
        <v>4</v>
      </c>
      <c r="U429" s="42">
        <v>1396</v>
      </c>
      <c r="V429" s="41">
        <v>137.97</v>
      </c>
      <c r="W429" s="43">
        <v>30</v>
      </c>
      <c r="Y429" s="173" t="s">
        <v>603</v>
      </c>
    </row>
    <row r="430" spans="18:25">
      <c r="R430" s="41" t="s">
        <v>606</v>
      </c>
      <c r="S430" s="41">
        <v>5</v>
      </c>
      <c r="T430" s="41">
        <v>2</v>
      </c>
      <c r="U430" s="42">
        <v>1703</v>
      </c>
      <c r="V430" s="41">
        <v>135.41</v>
      </c>
      <c r="W430" s="43">
        <v>40</v>
      </c>
      <c r="Y430" s="173" t="s">
        <v>607</v>
      </c>
    </row>
    <row r="431" spans="18:25">
      <c r="R431" s="41" t="s">
        <v>606</v>
      </c>
      <c r="S431" s="41">
        <v>5</v>
      </c>
      <c r="T431" s="41">
        <v>3</v>
      </c>
      <c r="U431" s="42">
        <v>1703</v>
      </c>
      <c r="V431" s="157">
        <v>138.6</v>
      </c>
      <c r="W431" s="43">
        <v>40</v>
      </c>
      <c r="Y431" s="173" t="s">
        <v>610</v>
      </c>
    </row>
    <row r="432" spans="18:25">
      <c r="R432" s="41" t="s">
        <v>606</v>
      </c>
      <c r="S432" s="41">
        <v>5</v>
      </c>
      <c r="T432" s="41">
        <v>4</v>
      </c>
      <c r="U432" s="42">
        <v>1703</v>
      </c>
      <c r="V432" s="41">
        <v>135.63</v>
      </c>
      <c r="W432" s="43">
        <v>40</v>
      </c>
      <c r="Y432" s="173" t="s">
        <v>613</v>
      </c>
    </row>
    <row r="433" spans="18:25">
      <c r="R433" s="41" t="s">
        <v>616</v>
      </c>
      <c r="S433" s="41">
        <v>2</v>
      </c>
      <c r="T433" s="41">
        <v>2</v>
      </c>
      <c r="U433" s="42">
        <v>1144</v>
      </c>
      <c r="V433" s="41">
        <v>139.69</v>
      </c>
      <c r="W433" s="43">
        <v>10</v>
      </c>
      <c r="Y433" s="173" t="s">
        <v>617</v>
      </c>
    </row>
    <row r="434" spans="18:25">
      <c r="R434" s="41" t="s">
        <v>616</v>
      </c>
      <c r="S434" s="41">
        <v>2</v>
      </c>
      <c r="T434" s="41">
        <v>3</v>
      </c>
      <c r="U434" s="42">
        <v>1144</v>
      </c>
      <c r="V434" s="41">
        <v>140.16999999999999</v>
      </c>
      <c r="W434" s="43">
        <v>10</v>
      </c>
      <c r="Y434" s="173" t="s">
        <v>621</v>
      </c>
    </row>
    <row r="435" spans="18:25">
      <c r="R435" s="41" t="s">
        <v>616</v>
      </c>
      <c r="S435" s="41">
        <v>2</v>
      </c>
      <c r="T435" s="41">
        <v>4</v>
      </c>
      <c r="U435" s="42">
        <v>1144</v>
      </c>
      <c r="V435" s="41">
        <v>139.15</v>
      </c>
      <c r="W435" s="43">
        <v>10</v>
      </c>
      <c r="Y435" s="173" t="s">
        <v>624</v>
      </c>
    </row>
    <row r="436" spans="18:25">
      <c r="R436" s="41" t="s">
        <v>627</v>
      </c>
      <c r="S436" s="41">
        <v>4</v>
      </c>
      <c r="T436" s="41">
        <v>2</v>
      </c>
      <c r="U436" s="42">
        <v>1545</v>
      </c>
      <c r="V436" s="41">
        <v>135.41</v>
      </c>
      <c r="W436" s="43">
        <v>10</v>
      </c>
      <c r="Y436" s="173" t="s">
        <v>628</v>
      </c>
    </row>
    <row r="437" spans="18:25">
      <c r="R437" s="41" t="s">
        <v>627</v>
      </c>
      <c r="S437" s="41">
        <v>4</v>
      </c>
      <c r="T437" s="41">
        <v>3</v>
      </c>
      <c r="U437" s="42">
        <v>1545</v>
      </c>
      <c r="V437" s="157">
        <v>138.6</v>
      </c>
      <c r="W437" s="43">
        <v>10</v>
      </c>
      <c r="Y437" s="173" t="s">
        <v>631</v>
      </c>
    </row>
    <row r="438" spans="18:25">
      <c r="R438" s="41" t="s">
        <v>627</v>
      </c>
      <c r="S438" s="41">
        <v>4</v>
      </c>
      <c r="T438" s="41">
        <v>4</v>
      </c>
      <c r="U438" s="42">
        <v>1545</v>
      </c>
      <c r="V438" s="41">
        <v>135.63</v>
      </c>
      <c r="W438" s="43">
        <v>10</v>
      </c>
      <c r="Y438" s="173" t="s">
        <v>634</v>
      </c>
    </row>
    <row r="439" spans="18:25">
      <c r="R439" s="41" t="s">
        <v>636</v>
      </c>
      <c r="S439" s="41">
        <v>3</v>
      </c>
      <c r="T439" s="41">
        <v>2</v>
      </c>
      <c r="U439" s="42">
        <v>1400</v>
      </c>
      <c r="V439" s="41">
        <v>137.41999999999999</v>
      </c>
      <c r="W439" s="43">
        <v>30</v>
      </c>
      <c r="Y439" s="173" t="s">
        <v>637</v>
      </c>
    </row>
    <row r="440" spans="18:25">
      <c r="R440" s="41" t="s">
        <v>636</v>
      </c>
      <c r="S440" s="41">
        <v>3</v>
      </c>
      <c r="T440" s="41">
        <v>3</v>
      </c>
      <c r="U440" s="42">
        <v>1400</v>
      </c>
      <c r="V440" s="41">
        <v>139.79</v>
      </c>
      <c r="W440" s="43">
        <v>30</v>
      </c>
      <c r="Y440" s="173" t="s">
        <v>640</v>
      </c>
    </row>
    <row r="441" spans="18:25">
      <c r="R441" s="41" t="s">
        <v>636</v>
      </c>
      <c r="S441" s="41">
        <v>3</v>
      </c>
      <c r="T441" s="41">
        <v>4</v>
      </c>
      <c r="U441" s="42">
        <v>1400</v>
      </c>
      <c r="V441" s="41">
        <v>137.97</v>
      </c>
      <c r="W441" s="43">
        <v>30</v>
      </c>
      <c r="Y441" s="173" t="s">
        <v>642</v>
      </c>
    </row>
    <row r="442" spans="18:25">
      <c r="R442" s="41" t="s">
        <v>644</v>
      </c>
      <c r="S442" s="41">
        <v>2</v>
      </c>
      <c r="T442" s="41">
        <v>2</v>
      </c>
      <c r="U442" s="42">
        <v>1143</v>
      </c>
      <c r="V442" s="41">
        <v>139.69</v>
      </c>
      <c r="W442" s="43">
        <v>10</v>
      </c>
      <c r="Y442" s="173" t="s">
        <v>645</v>
      </c>
    </row>
    <row r="443" spans="18:25">
      <c r="R443" s="41" t="s">
        <v>644</v>
      </c>
      <c r="S443" s="41">
        <v>2</v>
      </c>
      <c r="T443" s="41">
        <v>3</v>
      </c>
      <c r="U443" s="42">
        <v>1143</v>
      </c>
      <c r="V443" s="41">
        <v>140.16999999999999</v>
      </c>
      <c r="W443" s="43">
        <v>10</v>
      </c>
      <c r="Y443" s="173" t="s">
        <v>648</v>
      </c>
    </row>
    <row r="444" spans="18:25">
      <c r="R444" s="41" t="s">
        <v>644</v>
      </c>
      <c r="S444" s="41">
        <v>2</v>
      </c>
      <c r="T444" s="41">
        <v>4</v>
      </c>
      <c r="U444" s="42">
        <v>1143</v>
      </c>
      <c r="V444" s="41">
        <v>139.15</v>
      </c>
      <c r="W444" s="43">
        <v>10</v>
      </c>
      <c r="Y444" s="173" t="s">
        <v>651</v>
      </c>
    </row>
    <row r="445" spans="18:25">
      <c r="R445" s="41" t="s">
        <v>654</v>
      </c>
      <c r="S445" s="41">
        <v>2</v>
      </c>
      <c r="T445" s="41">
        <v>2</v>
      </c>
      <c r="U445" s="42">
        <v>1320</v>
      </c>
      <c r="V445" s="41">
        <v>139.69</v>
      </c>
      <c r="W445" s="43">
        <v>35</v>
      </c>
      <c r="Y445" s="173" t="s">
        <v>655</v>
      </c>
    </row>
    <row r="446" spans="18:25">
      <c r="R446" s="41" t="s">
        <v>654</v>
      </c>
      <c r="S446" s="41">
        <v>2</v>
      </c>
      <c r="T446" s="41">
        <v>3</v>
      </c>
      <c r="U446" s="42">
        <v>1320</v>
      </c>
      <c r="V446" s="41">
        <v>140.16999999999999</v>
      </c>
      <c r="W446" s="43">
        <v>35</v>
      </c>
      <c r="Y446" s="173" t="s">
        <v>658</v>
      </c>
    </row>
    <row r="447" spans="18:25">
      <c r="R447" s="41" t="s">
        <v>654</v>
      </c>
      <c r="S447" s="41">
        <v>2</v>
      </c>
      <c r="T447" s="41">
        <v>4</v>
      </c>
      <c r="U447" s="42">
        <v>1320</v>
      </c>
      <c r="V447" s="41">
        <v>139.15</v>
      </c>
      <c r="W447" s="43">
        <v>35</v>
      </c>
      <c r="Y447" s="173" t="s">
        <v>661</v>
      </c>
    </row>
    <row r="448" spans="18:25">
      <c r="Y448" s="173"/>
    </row>
    <row r="449" spans="18:25">
      <c r="S449" s="52" t="s">
        <v>542</v>
      </c>
      <c r="Y449" s="173"/>
    </row>
    <row r="450" spans="18:25">
      <c r="R450" s="429" t="s">
        <v>490</v>
      </c>
      <c r="S450" s="430"/>
      <c r="T450" s="430"/>
      <c r="U450" s="430"/>
      <c r="V450" s="430"/>
      <c r="W450" s="431"/>
      <c r="Y450" s="171" t="s">
        <v>478</v>
      </c>
    </row>
    <row r="451" spans="18:25">
      <c r="R451" s="16" t="s">
        <v>497</v>
      </c>
      <c r="S451" s="16" t="s">
        <v>498</v>
      </c>
      <c r="T451" s="16" t="s">
        <v>483</v>
      </c>
      <c r="U451" s="16" t="s">
        <v>499</v>
      </c>
      <c r="V451" s="16" t="s">
        <v>500</v>
      </c>
      <c r="W451" s="17" t="s">
        <v>501</v>
      </c>
      <c r="Y451" s="172" t="s">
        <v>502</v>
      </c>
    </row>
    <row r="452" spans="18:25">
      <c r="R452" s="41" t="s">
        <v>508</v>
      </c>
      <c r="S452" s="41">
        <v>2</v>
      </c>
      <c r="T452" s="41">
        <v>2</v>
      </c>
      <c r="U452" s="42">
        <v>1356</v>
      </c>
      <c r="V452" s="41">
        <v>139.69</v>
      </c>
      <c r="W452" s="43">
        <v>40</v>
      </c>
      <c r="Y452" s="173" t="s">
        <v>509</v>
      </c>
    </row>
    <row r="453" spans="18:25">
      <c r="R453" s="41" t="s">
        <v>508</v>
      </c>
      <c r="S453" s="41">
        <v>2</v>
      </c>
      <c r="T453" s="41">
        <v>3</v>
      </c>
      <c r="U453" s="42">
        <v>1356</v>
      </c>
      <c r="V453" s="41">
        <v>140.16999999999999</v>
      </c>
      <c r="W453" s="43">
        <v>40</v>
      </c>
      <c r="Y453" s="173" t="s">
        <v>514</v>
      </c>
    </row>
    <row r="454" spans="18:25">
      <c r="R454" s="41" t="s">
        <v>508</v>
      </c>
      <c r="S454" s="41">
        <v>2</v>
      </c>
      <c r="T454" s="41">
        <v>4</v>
      </c>
      <c r="U454" s="42">
        <v>1356</v>
      </c>
      <c r="V454" s="41">
        <v>139.15</v>
      </c>
      <c r="W454" s="43">
        <v>40</v>
      </c>
      <c r="Y454" s="173" t="s">
        <v>518</v>
      </c>
    </row>
    <row r="455" spans="18:25">
      <c r="R455" s="41" t="s">
        <v>524</v>
      </c>
      <c r="S455" s="41">
        <v>4</v>
      </c>
      <c r="T455" s="41">
        <v>2</v>
      </c>
      <c r="U455" s="42">
        <v>1517</v>
      </c>
      <c r="V455" s="41">
        <v>135.41</v>
      </c>
      <c r="W455" s="43">
        <v>40</v>
      </c>
      <c r="Y455" s="173" t="s">
        <v>525</v>
      </c>
    </row>
    <row r="456" spans="18:25">
      <c r="R456" s="41" t="s">
        <v>524</v>
      </c>
      <c r="S456" s="41">
        <v>4</v>
      </c>
      <c r="T456" s="41">
        <v>3</v>
      </c>
      <c r="U456" s="42">
        <v>1517</v>
      </c>
      <c r="V456" s="157">
        <v>138.6</v>
      </c>
      <c r="W456" s="43">
        <v>40</v>
      </c>
      <c r="Y456" s="173" t="s">
        <v>529</v>
      </c>
    </row>
    <row r="457" spans="18:25">
      <c r="R457" s="41" t="s">
        <v>524</v>
      </c>
      <c r="S457" s="41">
        <v>4</v>
      </c>
      <c r="T457" s="41">
        <v>4</v>
      </c>
      <c r="U457" s="42">
        <v>1517</v>
      </c>
      <c r="V457" s="41">
        <v>135.63</v>
      </c>
      <c r="W457" s="43">
        <v>40</v>
      </c>
      <c r="Y457" s="173" t="s">
        <v>533</v>
      </c>
    </row>
    <row r="458" spans="18:25">
      <c r="R458" s="41" t="s">
        <v>538</v>
      </c>
      <c r="S458" s="41">
        <v>2</v>
      </c>
      <c r="T458" s="41">
        <v>2</v>
      </c>
      <c r="U458" s="42">
        <v>1231</v>
      </c>
      <c r="V458" s="41">
        <v>139.69</v>
      </c>
      <c r="W458" s="43">
        <v>30</v>
      </c>
      <c r="Y458" s="173" t="s">
        <v>539</v>
      </c>
    </row>
    <row r="459" spans="18:25">
      <c r="R459" s="41" t="s">
        <v>538</v>
      </c>
      <c r="S459" s="41">
        <v>2</v>
      </c>
      <c r="T459" s="41">
        <v>3</v>
      </c>
      <c r="U459" s="42">
        <v>1231</v>
      </c>
      <c r="V459" s="41">
        <v>140.16999999999999</v>
      </c>
      <c r="W459" s="43">
        <v>30</v>
      </c>
      <c r="Y459" s="173" t="s">
        <v>544</v>
      </c>
    </row>
    <row r="460" spans="18:25">
      <c r="R460" s="41" t="s">
        <v>538</v>
      </c>
      <c r="S460" s="41">
        <v>2</v>
      </c>
      <c r="T460" s="41">
        <v>4</v>
      </c>
      <c r="U460" s="42">
        <v>1231</v>
      </c>
      <c r="V460" s="41">
        <v>139.15</v>
      </c>
      <c r="W460" s="43">
        <v>30</v>
      </c>
      <c r="Y460" s="173" t="s">
        <v>549</v>
      </c>
    </row>
    <row r="461" spans="18:25">
      <c r="R461" s="41" t="s">
        <v>555</v>
      </c>
      <c r="S461" s="41">
        <v>2</v>
      </c>
      <c r="T461" s="41">
        <v>2</v>
      </c>
      <c r="U461" s="42">
        <v>1284</v>
      </c>
      <c r="V461" s="41">
        <v>139.69</v>
      </c>
      <c r="W461" s="43">
        <v>10</v>
      </c>
      <c r="Y461" s="173" t="s">
        <v>556</v>
      </c>
    </row>
    <row r="462" spans="18:25">
      <c r="R462" s="41" t="s">
        <v>555</v>
      </c>
      <c r="S462" s="41">
        <v>2</v>
      </c>
      <c r="T462" s="41">
        <v>3</v>
      </c>
      <c r="U462" s="42">
        <v>1284</v>
      </c>
      <c r="V462" s="41">
        <v>140.16999999999999</v>
      </c>
      <c r="W462" s="43">
        <v>10</v>
      </c>
      <c r="Y462" s="173" t="s">
        <v>561</v>
      </c>
    </row>
    <row r="463" spans="18:25">
      <c r="R463" s="41" t="s">
        <v>555</v>
      </c>
      <c r="S463" s="41">
        <v>2</v>
      </c>
      <c r="T463" s="41">
        <v>4</v>
      </c>
      <c r="U463" s="42">
        <v>1284</v>
      </c>
      <c r="V463" s="41">
        <v>139.15</v>
      </c>
      <c r="W463" s="43">
        <v>10</v>
      </c>
      <c r="Y463" s="173" t="s">
        <v>566</v>
      </c>
    </row>
    <row r="464" spans="18:25">
      <c r="R464" s="41" t="s">
        <v>570</v>
      </c>
      <c r="S464" s="41">
        <v>3</v>
      </c>
      <c r="T464" s="41">
        <v>2</v>
      </c>
      <c r="U464" s="42">
        <v>1477</v>
      </c>
      <c r="V464" s="41">
        <v>137.41999999999999</v>
      </c>
      <c r="W464" s="43">
        <v>40</v>
      </c>
      <c r="Y464" s="173" t="s">
        <v>571</v>
      </c>
    </row>
    <row r="465" spans="18:25">
      <c r="R465" s="41" t="s">
        <v>570</v>
      </c>
      <c r="S465" s="41">
        <v>3</v>
      </c>
      <c r="T465" s="41">
        <v>3</v>
      </c>
      <c r="U465" s="42">
        <v>1477</v>
      </c>
      <c r="V465" s="41">
        <v>139.79</v>
      </c>
      <c r="W465" s="43">
        <v>40</v>
      </c>
      <c r="Y465" s="173" t="s">
        <v>576</v>
      </c>
    </row>
    <row r="466" spans="18:25">
      <c r="R466" s="41" t="s">
        <v>570</v>
      </c>
      <c r="S466" s="41">
        <v>3</v>
      </c>
      <c r="T466" s="41">
        <v>4</v>
      </c>
      <c r="U466" s="42">
        <v>1477</v>
      </c>
      <c r="V466" s="41">
        <v>137.97</v>
      </c>
      <c r="W466" s="43">
        <v>40</v>
      </c>
      <c r="Y466" s="173" t="s">
        <v>580</v>
      </c>
    </row>
    <row r="467" spans="18:25">
      <c r="R467" s="41" t="s">
        <v>585</v>
      </c>
      <c r="S467" s="41">
        <v>6</v>
      </c>
      <c r="T467" s="41">
        <v>2</v>
      </c>
      <c r="U467" s="42">
        <v>1842</v>
      </c>
      <c r="V467" s="41">
        <v>135.41</v>
      </c>
      <c r="W467" s="43">
        <v>20</v>
      </c>
      <c r="Y467" s="173" t="s">
        <v>586</v>
      </c>
    </row>
    <row r="468" spans="18:25">
      <c r="R468" s="41" t="s">
        <v>585</v>
      </c>
      <c r="S468" s="41">
        <v>6</v>
      </c>
      <c r="T468" s="41">
        <v>3</v>
      </c>
      <c r="U468" s="42">
        <v>1842</v>
      </c>
      <c r="V468" s="157">
        <v>138.6</v>
      </c>
      <c r="W468" s="43">
        <v>20</v>
      </c>
      <c r="Y468" s="173" t="s">
        <v>589</v>
      </c>
    </row>
    <row r="469" spans="18:25">
      <c r="R469" s="41" t="s">
        <v>585</v>
      </c>
      <c r="S469" s="41">
        <v>6</v>
      </c>
      <c r="T469" s="41">
        <v>4</v>
      </c>
      <c r="U469" s="42">
        <v>1842</v>
      </c>
      <c r="V469" s="41">
        <v>135.63</v>
      </c>
      <c r="W469" s="43">
        <v>20</v>
      </c>
      <c r="Y469" s="173" t="s">
        <v>592</v>
      </c>
    </row>
    <row r="470" spans="18:25">
      <c r="R470" s="41" t="s">
        <v>595</v>
      </c>
      <c r="S470" s="41">
        <v>3</v>
      </c>
      <c r="T470" s="41">
        <v>2</v>
      </c>
      <c r="U470" s="42">
        <v>1396</v>
      </c>
      <c r="V470" s="41">
        <v>137.41999999999999</v>
      </c>
      <c r="W470" s="43">
        <v>30</v>
      </c>
      <c r="Y470" s="173" t="s">
        <v>596</v>
      </c>
    </row>
    <row r="471" spans="18:25">
      <c r="R471" s="41" t="s">
        <v>595</v>
      </c>
      <c r="S471" s="41">
        <v>3</v>
      </c>
      <c r="T471" s="41">
        <v>3</v>
      </c>
      <c r="U471" s="42">
        <v>1396</v>
      </c>
      <c r="V471" s="41">
        <v>139.79</v>
      </c>
      <c r="W471" s="43">
        <v>30</v>
      </c>
      <c r="Y471" s="173" t="s">
        <v>599</v>
      </c>
    </row>
    <row r="472" spans="18:25">
      <c r="R472" s="41" t="s">
        <v>595</v>
      </c>
      <c r="S472" s="41">
        <v>3</v>
      </c>
      <c r="T472" s="41">
        <v>4</v>
      </c>
      <c r="U472" s="42">
        <v>1396</v>
      </c>
      <c r="V472" s="41">
        <v>137.97</v>
      </c>
      <c r="W472" s="43">
        <v>30</v>
      </c>
      <c r="Y472" s="173" t="s">
        <v>603</v>
      </c>
    </row>
    <row r="473" spans="18:25">
      <c r="R473" s="41" t="s">
        <v>606</v>
      </c>
      <c r="S473" s="41">
        <v>5</v>
      </c>
      <c r="T473" s="41">
        <v>2</v>
      </c>
      <c r="U473" s="42">
        <v>1703</v>
      </c>
      <c r="V473" s="41">
        <v>135.41</v>
      </c>
      <c r="W473" s="43">
        <v>40</v>
      </c>
      <c r="Y473" s="173" t="s">
        <v>607</v>
      </c>
    </row>
    <row r="474" spans="18:25">
      <c r="R474" s="41" t="s">
        <v>606</v>
      </c>
      <c r="S474" s="41">
        <v>5</v>
      </c>
      <c r="T474" s="41">
        <v>3</v>
      </c>
      <c r="U474" s="42">
        <v>1703</v>
      </c>
      <c r="V474" s="157">
        <v>138.6</v>
      </c>
      <c r="W474" s="43">
        <v>40</v>
      </c>
      <c r="Y474" s="173" t="s">
        <v>610</v>
      </c>
    </row>
    <row r="475" spans="18:25">
      <c r="R475" s="41" t="s">
        <v>606</v>
      </c>
      <c r="S475" s="41">
        <v>5</v>
      </c>
      <c r="T475" s="41">
        <v>4</v>
      </c>
      <c r="U475" s="42">
        <v>1703</v>
      </c>
      <c r="V475" s="41">
        <v>135.63</v>
      </c>
      <c r="W475" s="43">
        <v>40</v>
      </c>
      <c r="Y475" s="173" t="s">
        <v>613</v>
      </c>
    </row>
    <row r="476" spans="18:25">
      <c r="R476" s="41" t="s">
        <v>616</v>
      </c>
      <c r="S476" s="41">
        <v>2</v>
      </c>
      <c r="T476" s="41">
        <v>2</v>
      </c>
      <c r="U476" s="42">
        <v>1144</v>
      </c>
      <c r="V476" s="41">
        <v>139.69</v>
      </c>
      <c r="W476" s="43">
        <v>10</v>
      </c>
      <c r="Y476" s="173" t="s">
        <v>617</v>
      </c>
    </row>
    <row r="477" spans="18:25">
      <c r="R477" s="41" t="s">
        <v>616</v>
      </c>
      <c r="S477" s="41">
        <v>2</v>
      </c>
      <c r="T477" s="41">
        <v>3</v>
      </c>
      <c r="U477" s="42">
        <v>1144</v>
      </c>
      <c r="V477" s="41">
        <v>140.16999999999999</v>
      </c>
      <c r="W477" s="43">
        <v>10</v>
      </c>
      <c r="Y477" s="173" t="s">
        <v>621</v>
      </c>
    </row>
    <row r="478" spans="18:25">
      <c r="R478" s="41" t="s">
        <v>616</v>
      </c>
      <c r="S478" s="41">
        <v>2</v>
      </c>
      <c r="T478" s="41">
        <v>4</v>
      </c>
      <c r="U478" s="42">
        <v>1144</v>
      </c>
      <c r="V478" s="41">
        <v>139.15</v>
      </c>
      <c r="W478" s="43">
        <v>10</v>
      </c>
      <c r="Y478" s="173" t="s">
        <v>624</v>
      </c>
    </row>
    <row r="479" spans="18:25">
      <c r="R479" s="41" t="s">
        <v>627</v>
      </c>
      <c r="S479" s="41">
        <v>4</v>
      </c>
      <c r="T479" s="41">
        <v>2</v>
      </c>
      <c r="U479" s="42">
        <v>1545</v>
      </c>
      <c r="V479" s="41">
        <v>135.41</v>
      </c>
      <c r="W479" s="43">
        <v>10</v>
      </c>
      <c r="Y479" s="173" t="s">
        <v>628</v>
      </c>
    </row>
    <row r="480" spans="18:25">
      <c r="R480" s="41" t="s">
        <v>627</v>
      </c>
      <c r="S480" s="41">
        <v>4</v>
      </c>
      <c r="T480" s="41">
        <v>3</v>
      </c>
      <c r="U480" s="42">
        <v>1545</v>
      </c>
      <c r="V480" s="157">
        <v>138.6</v>
      </c>
      <c r="W480" s="43">
        <v>10</v>
      </c>
      <c r="Y480" s="173" t="s">
        <v>631</v>
      </c>
    </row>
    <row r="481" spans="18:25">
      <c r="R481" s="41" t="s">
        <v>627</v>
      </c>
      <c r="S481" s="41">
        <v>4</v>
      </c>
      <c r="T481" s="41">
        <v>4</v>
      </c>
      <c r="U481" s="42">
        <v>1545</v>
      </c>
      <c r="V481" s="41">
        <v>135.63</v>
      </c>
      <c r="W481" s="43">
        <v>10</v>
      </c>
      <c r="Y481" s="173" t="s">
        <v>634</v>
      </c>
    </row>
    <row r="482" spans="18:25">
      <c r="R482" s="41" t="s">
        <v>636</v>
      </c>
      <c r="S482" s="41">
        <v>3</v>
      </c>
      <c r="T482" s="41">
        <v>2</v>
      </c>
      <c r="U482" s="42">
        <v>1400</v>
      </c>
      <c r="V482" s="41">
        <v>137.41999999999999</v>
      </c>
      <c r="W482" s="43">
        <v>30</v>
      </c>
      <c r="Y482" s="173" t="s">
        <v>637</v>
      </c>
    </row>
    <row r="483" spans="18:25">
      <c r="R483" s="41" t="s">
        <v>636</v>
      </c>
      <c r="S483" s="41">
        <v>3</v>
      </c>
      <c r="T483" s="41">
        <v>3</v>
      </c>
      <c r="U483" s="42">
        <v>1400</v>
      </c>
      <c r="V483" s="41">
        <v>139.79</v>
      </c>
      <c r="W483" s="43">
        <v>30</v>
      </c>
      <c r="Y483" s="173" t="s">
        <v>640</v>
      </c>
    </row>
    <row r="484" spans="18:25">
      <c r="R484" s="41" t="s">
        <v>636</v>
      </c>
      <c r="S484" s="41">
        <v>3</v>
      </c>
      <c r="T484" s="41">
        <v>4</v>
      </c>
      <c r="U484" s="42">
        <v>1400</v>
      </c>
      <c r="V484" s="41">
        <v>137.97</v>
      </c>
      <c r="W484" s="43">
        <v>30</v>
      </c>
      <c r="Y484" s="173" t="s">
        <v>642</v>
      </c>
    </row>
    <row r="485" spans="18:25">
      <c r="R485" s="41" t="s">
        <v>644</v>
      </c>
      <c r="S485" s="41">
        <v>2</v>
      </c>
      <c r="T485" s="41">
        <v>2</v>
      </c>
      <c r="U485" s="42">
        <v>1143</v>
      </c>
      <c r="V485" s="41">
        <v>139.69</v>
      </c>
      <c r="W485" s="43">
        <v>10</v>
      </c>
      <c r="Y485" s="173" t="s">
        <v>645</v>
      </c>
    </row>
    <row r="486" spans="18:25">
      <c r="R486" s="41" t="s">
        <v>644</v>
      </c>
      <c r="S486" s="41">
        <v>2</v>
      </c>
      <c r="T486" s="41">
        <v>3</v>
      </c>
      <c r="U486" s="42">
        <v>1143</v>
      </c>
      <c r="V486" s="41">
        <v>140.16999999999999</v>
      </c>
      <c r="W486" s="43">
        <v>10</v>
      </c>
      <c r="Y486" s="173" t="s">
        <v>648</v>
      </c>
    </row>
    <row r="487" spans="18:25">
      <c r="R487" s="41" t="s">
        <v>644</v>
      </c>
      <c r="S487" s="41">
        <v>2</v>
      </c>
      <c r="T487" s="41">
        <v>4</v>
      </c>
      <c r="U487" s="42">
        <v>1143</v>
      </c>
      <c r="V487" s="41">
        <v>139.15</v>
      </c>
      <c r="W487" s="43">
        <v>10</v>
      </c>
      <c r="Y487" s="173" t="s">
        <v>651</v>
      </c>
    </row>
    <row r="488" spans="18:25">
      <c r="R488" s="41" t="s">
        <v>654</v>
      </c>
      <c r="S488" s="41">
        <v>2</v>
      </c>
      <c r="T488" s="41">
        <v>2</v>
      </c>
      <c r="U488" s="42">
        <v>1320</v>
      </c>
      <c r="V488" s="41">
        <v>139.69</v>
      </c>
      <c r="W488" s="43">
        <v>35</v>
      </c>
      <c r="Y488" s="173" t="s">
        <v>655</v>
      </c>
    </row>
    <row r="489" spans="18:25">
      <c r="R489" s="41" t="s">
        <v>654</v>
      </c>
      <c r="S489" s="41">
        <v>2</v>
      </c>
      <c r="T489" s="41">
        <v>3</v>
      </c>
      <c r="U489" s="42">
        <v>1320</v>
      </c>
      <c r="V489" s="41">
        <v>140.16999999999999</v>
      </c>
      <c r="W489" s="43">
        <v>35</v>
      </c>
      <c r="Y489" s="173" t="s">
        <v>658</v>
      </c>
    </row>
    <row r="490" spans="18:25">
      <c r="R490" s="168" t="s">
        <v>654</v>
      </c>
      <c r="S490" s="41">
        <v>2</v>
      </c>
      <c r="T490" s="41">
        <v>4</v>
      </c>
      <c r="U490" s="42">
        <v>1320</v>
      </c>
      <c r="V490" s="41">
        <v>139.15</v>
      </c>
      <c r="W490" s="43">
        <v>35</v>
      </c>
      <c r="Y490" s="173" t="s">
        <v>661</v>
      </c>
    </row>
    <row r="491" spans="18:25">
      <c r="Y491" s="173"/>
    </row>
    <row r="492" spans="18:25">
      <c r="S492" s="52" t="s">
        <v>546</v>
      </c>
      <c r="Y492" s="173"/>
    </row>
    <row r="493" spans="18:25">
      <c r="R493" s="429" t="s">
        <v>490</v>
      </c>
      <c r="S493" s="430"/>
      <c r="T493" s="430"/>
      <c r="U493" s="430"/>
      <c r="V493" s="430"/>
      <c r="W493" s="431"/>
      <c r="Y493" s="171" t="s">
        <v>478</v>
      </c>
    </row>
    <row r="494" spans="18:25">
      <c r="R494" s="16" t="s">
        <v>497</v>
      </c>
      <c r="S494" s="16" t="s">
        <v>498</v>
      </c>
      <c r="T494" s="16" t="s">
        <v>483</v>
      </c>
      <c r="U494" s="16" t="s">
        <v>499</v>
      </c>
      <c r="V494" s="16" t="s">
        <v>500</v>
      </c>
      <c r="W494" s="17" t="s">
        <v>501</v>
      </c>
      <c r="Y494" s="172" t="s">
        <v>502</v>
      </c>
    </row>
    <row r="495" spans="18:25">
      <c r="R495" s="41" t="s">
        <v>508</v>
      </c>
      <c r="S495" s="41">
        <v>2</v>
      </c>
      <c r="T495" s="41">
        <v>2</v>
      </c>
      <c r="U495" s="42">
        <v>1356</v>
      </c>
      <c r="V495" s="41">
        <v>139.69</v>
      </c>
      <c r="W495" s="43">
        <v>40</v>
      </c>
      <c r="Y495" s="173" t="s">
        <v>509</v>
      </c>
    </row>
    <row r="496" spans="18:25">
      <c r="R496" s="41" t="s">
        <v>508</v>
      </c>
      <c r="S496" s="41">
        <v>2</v>
      </c>
      <c r="T496" s="41">
        <v>3</v>
      </c>
      <c r="U496" s="42">
        <v>1356</v>
      </c>
      <c r="V496" s="41">
        <v>140.16999999999999</v>
      </c>
      <c r="W496" s="43">
        <v>40</v>
      </c>
      <c r="Y496" s="173" t="s">
        <v>514</v>
      </c>
    </row>
    <row r="497" spans="18:25">
      <c r="R497" s="41" t="s">
        <v>508</v>
      </c>
      <c r="S497" s="41">
        <v>2</v>
      </c>
      <c r="T497" s="41">
        <v>4</v>
      </c>
      <c r="U497" s="42">
        <v>1356</v>
      </c>
      <c r="V497" s="41">
        <v>139.15</v>
      </c>
      <c r="W497" s="43">
        <v>40</v>
      </c>
      <c r="Y497" s="173" t="s">
        <v>518</v>
      </c>
    </row>
    <row r="498" spans="18:25">
      <c r="R498" s="41" t="s">
        <v>524</v>
      </c>
      <c r="S498" s="41">
        <v>4</v>
      </c>
      <c r="T498" s="41">
        <v>2</v>
      </c>
      <c r="U498" s="42">
        <v>1517</v>
      </c>
      <c r="V498" s="41">
        <v>135.41</v>
      </c>
      <c r="W498" s="43">
        <v>40</v>
      </c>
      <c r="Y498" s="173" t="s">
        <v>525</v>
      </c>
    </row>
    <row r="499" spans="18:25">
      <c r="R499" s="41" t="s">
        <v>524</v>
      </c>
      <c r="S499" s="41">
        <v>4</v>
      </c>
      <c r="T499" s="41">
        <v>3</v>
      </c>
      <c r="U499" s="42">
        <v>1517</v>
      </c>
      <c r="V499" s="157">
        <v>138.6</v>
      </c>
      <c r="W499" s="43">
        <v>40</v>
      </c>
      <c r="Y499" s="173" t="s">
        <v>529</v>
      </c>
    </row>
    <row r="500" spans="18:25">
      <c r="R500" s="41" t="s">
        <v>524</v>
      </c>
      <c r="S500" s="41">
        <v>4</v>
      </c>
      <c r="T500" s="41">
        <v>4</v>
      </c>
      <c r="U500" s="42">
        <v>1517</v>
      </c>
      <c r="V500" s="41">
        <v>135.63</v>
      </c>
      <c r="W500" s="43">
        <v>40</v>
      </c>
      <c r="Y500" s="173" t="s">
        <v>533</v>
      </c>
    </row>
    <row r="501" spans="18:25">
      <c r="R501" s="41" t="s">
        <v>538</v>
      </c>
      <c r="S501" s="41">
        <v>2</v>
      </c>
      <c r="T501" s="41">
        <v>2</v>
      </c>
      <c r="U501" s="42">
        <v>1231</v>
      </c>
      <c r="V501" s="41">
        <v>139.69</v>
      </c>
      <c r="W501" s="43">
        <v>30</v>
      </c>
      <c r="Y501" s="173" t="s">
        <v>539</v>
      </c>
    </row>
    <row r="502" spans="18:25">
      <c r="R502" s="41" t="s">
        <v>538</v>
      </c>
      <c r="S502" s="41">
        <v>2</v>
      </c>
      <c r="T502" s="41">
        <v>3</v>
      </c>
      <c r="U502" s="42">
        <v>1231</v>
      </c>
      <c r="V502" s="41">
        <v>140.16999999999999</v>
      </c>
      <c r="W502" s="43">
        <v>30</v>
      </c>
      <c r="Y502" s="173" t="s">
        <v>544</v>
      </c>
    </row>
    <row r="503" spans="18:25">
      <c r="R503" s="41" t="s">
        <v>538</v>
      </c>
      <c r="S503" s="41">
        <v>2</v>
      </c>
      <c r="T503" s="41">
        <v>4</v>
      </c>
      <c r="U503" s="42">
        <v>1231</v>
      </c>
      <c r="V503" s="41">
        <v>139.15</v>
      </c>
      <c r="W503" s="43">
        <v>30</v>
      </c>
      <c r="Y503" s="173" t="s">
        <v>549</v>
      </c>
    </row>
    <row r="504" spans="18:25">
      <c r="R504" s="41" t="s">
        <v>555</v>
      </c>
      <c r="S504" s="41">
        <v>2</v>
      </c>
      <c r="T504" s="41">
        <v>2</v>
      </c>
      <c r="U504" s="42">
        <v>1284</v>
      </c>
      <c r="V504" s="41">
        <v>139.69</v>
      </c>
      <c r="W504" s="43">
        <v>10</v>
      </c>
      <c r="Y504" s="173" t="s">
        <v>556</v>
      </c>
    </row>
    <row r="505" spans="18:25">
      <c r="R505" s="41" t="s">
        <v>555</v>
      </c>
      <c r="S505" s="41">
        <v>2</v>
      </c>
      <c r="T505" s="41">
        <v>3</v>
      </c>
      <c r="U505" s="42">
        <v>1284</v>
      </c>
      <c r="V505" s="41">
        <v>140.16999999999999</v>
      </c>
      <c r="W505" s="43">
        <v>10</v>
      </c>
      <c r="Y505" s="173" t="s">
        <v>561</v>
      </c>
    </row>
    <row r="506" spans="18:25">
      <c r="R506" s="41" t="s">
        <v>555</v>
      </c>
      <c r="S506" s="41">
        <v>2</v>
      </c>
      <c r="T506" s="41">
        <v>4</v>
      </c>
      <c r="U506" s="42">
        <v>1284</v>
      </c>
      <c r="V506" s="41">
        <v>139.15</v>
      </c>
      <c r="W506" s="43">
        <v>10</v>
      </c>
      <c r="Y506" s="173" t="s">
        <v>566</v>
      </c>
    </row>
    <row r="507" spans="18:25">
      <c r="R507" s="41" t="s">
        <v>570</v>
      </c>
      <c r="S507" s="41">
        <v>3</v>
      </c>
      <c r="T507" s="41">
        <v>2</v>
      </c>
      <c r="U507" s="42">
        <v>1477</v>
      </c>
      <c r="V507" s="41">
        <v>137.41999999999999</v>
      </c>
      <c r="W507" s="43">
        <v>40</v>
      </c>
      <c r="Y507" s="173" t="s">
        <v>571</v>
      </c>
    </row>
    <row r="508" spans="18:25">
      <c r="R508" s="41" t="s">
        <v>570</v>
      </c>
      <c r="S508" s="41">
        <v>3</v>
      </c>
      <c r="T508" s="41">
        <v>3</v>
      </c>
      <c r="U508" s="42">
        <v>1477</v>
      </c>
      <c r="V508" s="41">
        <v>139.79</v>
      </c>
      <c r="W508" s="43">
        <v>40</v>
      </c>
      <c r="Y508" s="173" t="s">
        <v>576</v>
      </c>
    </row>
    <row r="509" spans="18:25">
      <c r="R509" s="41" t="s">
        <v>570</v>
      </c>
      <c r="S509" s="41">
        <v>3</v>
      </c>
      <c r="T509" s="41">
        <v>4</v>
      </c>
      <c r="U509" s="42">
        <v>1477</v>
      </c>
      <c r="V509" s="41">
        <v>137.97</v>
      </c>
      <c r="W509" s="43">
        <v>40</v>
      </c>
      <c r="Y509" s="173" t="s">
        <v>580</v>
      </c>
    </row>
    <row r="510" spans="18:25">
      <c r="R510" s="41" t="s">
        <v>585</v>
      </c>
      <c r="S510" s="41">
        <v>6</v>
      </c>
      <c r="T510" s="41">
        <v>2</v>
      </c>
      <c r="U510" s="42">
        <v>1842</v>
      </c>
      <c r="V510" s="41">
        <v>135.41</v>
      </c>
      <c r="W510" s="43">
        <v>20</v>
      </c>
      <c r="Y510" s="173" t="s">
        <v>586</v>
      </c>
    </row>
    <row r="511" spans="18:25">
      <c r="R511" s="41" t="s">
        <v>585</v>
      </c>
      <c r="S511" s="41">
        <v>6</v>
      </c>
      <c r="T511" s="41">
        <v>3</v>
      </c>
      <c r="U511" s="42">
        <v>1842</v>
      </c>
      <c r="V511" s="157">
        <v>138.6</v>
      </c>
      <c r="W511" s="43">
        <v>20</v>
      </c>
      <c r="Y511" s="173" t="s">
        <v>589</v>
      </c>
    </row>
    <row r="512" spans="18:25">
      <c r="R512" s="41" t="s">
        <v>585</v>
      </c>
      <c r="S512" s="41">
        <v>6</v>
      </c>
      <c r="T512" s="41">
        <v>4</v>
      </c>
      <c r="U512" s="42">
        <v>1842</v>
      </c>
      <c r="V512" s="41">
        <v>135.63</v>
      </c>
      <c r="W512" s="43">
        <v>20</v>
      </c>
      <c r="Y512" s="173" t="s">
        <v>592</v>
      </c>
    </row>
    <row r="513" spans="18:25">
      <c r="R513" s="41" t="s">
        <v>595</v>
      </c>
      <c r="S513" s="41">
        <v>3</v>
      </c>
      <c r="T513" s="41">
        <v>2</v>
      </c>
      <c r="U513" s="42">
        <v>1396</v>
      </c>
      <c r="V513" s="41">
        <v>137.41999999999999</v>
      </c>
      <c r="W513" s="43">
        <v>30</v>
      </c>
      <c r="Y513" s="173" t="s">
        <v>596</v>
      </c>
    </row>
    <row r="514" spans="18:25">
      <c r="R514" s="41" t="s">
        <v>595</v>
      </c>
      <c r="S514" s="41">
        <v>3</v>
      </c>
      <c r="T514" s="41">
        <v>3</v>
      </c>
      <c r="U514" s="42">
        <v>1396</v>
      </c>
      <c r="V514" s="41">
        <v>139.79</v>
      </c>
      <c r="W514" s="43">
        <v>30</v>
      </c>
      <c r="Y514" s="173" t="s">
        <v>599</v>
      </c>
    </row>
    <row r="515" spans="18:25">
      <c r="R515" s="41" t="s">
        <v>595</v>
      </c>
      <c r="S515" s="41">
        <v>3</v>
      </c>
      <c r="T515" s="41">
        <v>4</v>
      </c>
      <c r="U515" s="42">
        <v>1396</v>
      </c>
      <c r="V515" s="41">
        <v>137.97</v>
      </c>
      <c r="W515" s="43">
        <v>30</v>
      </c>
      <c r="Y515" s="173" t="s">
        <v>603</v>
      </c>
    </row>
    <row r="516" spans="18:25">
      <c r="R516" s="41" t="s">
        <v>606</v>
      </c>
      <c r="S516" s="41">
        <v>5</v>
      </c>
      <c r="T516" s="41">
        <v>2</v>
      </c>
      <c r="U516" s="42">
        <v>1703</v>
      </c>
      <c r="V516" s="41">
        <v>135.41</v>
      </c>
      <c r="W516" s="43">
        <v>40</v>
      </c>
      <c r="Y516" s="173" t="s">
        <v>607</v>
      </c>
    </row>
    <row r="517" spans="18:25">
      <c r="R517" s="41" t="s">
        <v>606</v>
      </c>
      <c r="S517" s="41">
        <v>5</v>
      </c>
      <c r="T517" s="41">
        <v>3</v>
      </c>
      <c r="U517" s="42">
        <v>1703</v>
      </c>
      <c r="V517" s="157">
        <v>138.6</v>
      </c>
      <c r="W517" s="43">
        <v>40</v>
      </c>
      <c r="Y517" s="173" t="s">
        <v>610</v>
      </c>
    </row>
    <row r="518" spans="18:25">
      <c r="R518" s="41" t="s">
        <v>606</v>
      </c>
      <c r="S518" s="41">
        <v>5</v>
      </c>
      <c r="T518" s="41">
        <v>4</v>
      </c>
      <c r="U518" s="42">
        <v>1703</v>
      </c>
      <c r="V518" s="41">
        <v>135.63</v>
      </c>
      <c r="W518" s="43">
        <v>40</v>
      </c>
      <c r="Y518" s="173" t="s">
        <v>613</v>
      </c>
    </row>
    <row r="519" spans="18:25">
      <c r="R519" s="41" t="s">
        <v>616</v>
      </c>
      <c r="S519" s="41">
        <v>2</v>
      </c>
      <c r="T519" s="41">
        <v>2</v>
      </c>
      <c r="U519" s="42">
        <v>1144</v>
      </c>
      <c r="V519" s="41">
        <v>139.69</v>
      </c>
      <c r="W519" s="43">
        <v>10</v>
      </c>
      <c r="Y519" s="173" t="s">
        <v>617</v>
      </c>
    </row>
    <row r="520" spans="18:25">
      <c r="R520" s="41" t="s">
        <v>616</v>
      </c>
      <c r="S520" s="41">
        <v>2</v>
      </c>
      <c r="T520" s="41">
        <v>3</v>
      </c>
      <c r="U520" s="42">
        <v>1144</v>
      </c>
      <c r="V520" s="41">
        <v>140.16999999999999</v>
      </c>
      <c r="W520" s="43">
        <v>10</v>
      </c>
      <c r="Y520" s="173" t="s">
        <v>621</v>
      </c>
    </row>
    <row r="521" spans="18:25">
      <c r="R521" s="41" t="s">
        <v>616</v>
      </c>
      <c r="S521" s="41">
        <v>2</v>
      </c>
      <c r="T521" s="41">
        <v>4</v>
      </c>
      <c r="U521" s="42">
        <v>1144</v>
      </c>
      <c r="V521" s="41">
        <v>139.15</v>
      </c>
      <c r="W521" s="43">
        <v>10</v>
      </c>
      <c r="Y521" s="173" t="s">
        <v>624</v>
      </c>
    </row>
    <row r="522" spans="18:25">
      <c r="R522" s="41" t="s">
        <v>627</v>
      </c>
      <c r="S522" s="41">
        <v>4</v>
      </c>
      <c r="T522" s="41">
        <v>2</v>
      </c>
      <c r="U522" s="42">
        <v>1545</v>
      </c>
      <c r="V522" s="41">
        <v>135.41</v>
      </c>
      <c r="W522" s="43">
        <v>10</v>
      </c>
      <c r="Y522" s="173" t="s">
        <v>628</v>
      </c>
    </row>
    <row r="523" spans="18:25">
      <c r="R523" s="41" t="s">
        <v>627</v>
      </c>
      <c r="S523" s="41">
        <v>4</v>
      </c>
      <c r="T523" s="41">
        <v>3</v>
      </c>
      <c r="U523" s="42">
        <v>1545</v>
      </c>
      <c r="V523" s="157">
        <v>138.6</v>
      </c>
      <c r="W523" s="43">
        <v>10</v>
      </c>
      <c r="Y523" s="173" t="s">
        <v>631</v>
      </c>
    </row>
    <row r="524" spans="18:25">
      <c r="R524" s="41" t="s">
        <v>627</v>
      </c>
      <c r="S524" s="41">
        <v>4</v>
      </c>
      <c r="T524" s="41">
        <v>4</v>
      </c>
      <c r="U524" s="42">
        <v>1545</v>
      </c>
      <c r="V524" s="41">
        <v>135.63</v>
      </c>
      <c r="W524" s="43">
        <v>10</v>
      </c>
      <c r="Y524" s="173" t="s">
        <v>634</v>
      </c>
    </row>
    <row r="525" spans="18:25">
      <c r="R525" s="41" t="s">
        <v>636</v>
      </c>
      <c r="S525" s="41">
        <v>3</v>
      </c>
      <c r="T525" s="41">
        <v>2</v>
      </c>
      <c r="U525" s="42">
        <v>1400</v>
      </c>
      <c r="V525" s="41">
        <v>137.41999999999999</v>
      </c>
      <c r="W525" s="43">
        <v>30</v>
      </c>
      <c r="Y525" s="173" t="s">
        <v>637</v>
      </c>
    </row>
    <row r="526" spans="18:25">
      <c r="R526" s="41" t="s">
        <v>636</v>
      </c>
      <c r="S526" s="41">
        <v>3</v>
      </c>
      <c r="T526" s="41">
        <v>3</v>
      </c>
      <c r="U526" s="42">
        <v>1400</v>
      </c>
      <c r="V526" s="41">
        <v>139.79</v>
      </c>
      <c r="W526" s="43">
        <v>30</v>
      </c>
      <c r="Y526" s="173" t="s">
        <v>640</v>
      </c>
    </row>
    <row r="527" spans="18:25">
      <c r="R527" s="41" t="s">
        <v>636</v>
      </c>
      <c r="S527" s="41">
        <v>3</v>
      </c>
      <c r="T527" s="41">
        <v>4</v>
      </c>
      <c r="U527" s="42">
        <v>1400</v>
      </c>
      <c r="V527" s="41">
        <v>137.97</v>
      </c>
      <c r="W527" s="43">
        <v>30</v>
      </c>
      <c r="Y527" s="173" t="s">
        <v>642</v>
      </c>
    </row>
    <row r="528" spans="18:25">
      <c r="R528" s="41" t="s">
        <v>644</v>
      </c>
      <c r="S528" s="41">
        <v>2</v>
      </c>
      <c r="T528" s="41">
        <v>2</v>
      </c>
      <c r="U528" s="42">
        <v>1143</v>
      </c>
      <c r="V528" s="41">
        <v>139.69</v>
      </c>
      <c r="W528" s="43">
        <v>10</v>
      </c>
      <c r="Y528" s="173" t="s">
        <v>645</v>
      </c>
    </row>
    <row r="529" spans="18:25">
      <c r="R529" s="41" t="s">
        <v>644</v>
      </c>
      <c r="S529" s="41">
        <v>2</v>
      </c>
      <c r="T529" s="41">
        <v>3</v>
      </c>
      <c r="U529" s="42">
        <v>1143</v>
      </c>
      <c r="V529" s="41">
        <v>140.16999999999999</v>
      </c>
      <c r="W529" s="43">
        <v>10</v>
      </c>
      <c r="Y529" s="173" t="s">
        <v>648</v>
      </c>
    </row>
    <row r="530" spans="18:25">
      <c r="R530" s="41" t="s">
        <v>644</v>
      </c>
      <c r="S530" s="41">
        <v>2</v>
      </c>
      <c r="T530" s="41">
        <v>4</v>
      </c>
      <c r="U530" s="42">
        <v>1143</v>
      </c>
      <c r="V530" s="41">
        <v>139.15</v>
      </c>
      <c r="W530" s="43">
        <v>10</v>
      </c>
      <c r="Y530" s="173" t="s">
        <v>651</v>
      </c>
    </row>
    <row r="531" spans="18:25">
      <c r="R531" s="41" t="s">
        <v>654</v>
      </c>
      <c r="S531" s="41">
        <v>2</v>
      </c>
      <c r="T531" s="41">
        <v>2</v>
      </c>
      <c r="U531" s="42">
        <v>1320</v>
      </c>
      <c r="V531" s="41">
        <v>139.69</v>
      </c>
      <c r="W531" s="43">
        <v>35</v>
      </c>
      <c r="Y531" s="173" t="s">
        <v>655</v>
      </c>
    </row>
    <row r="532" spans="18:25">
      <c r="R532" s="41" t="s">
        <v>654</v>
      </c>
      <c r="S532" s="41">
        <v>2</v>
      </c>
      <c r="T532" s="41">
        <v>3</v>
      </c>
      <c r="U532" s="42">
        <v>1320</v>
      </c>
      <c r="V532" s="41">
        <v>140.16999999999999</v>
      </c>
      <c r="W532" s="43">
        <v>35</v>
      </c>
      <c r="Y532" s="173" t="s">
        <v>658</v>
      </c>
    </row>
    <row r="533" spans="18:25">
      <c r="R533" s="41" t="s">
        <v>654</v>
      </c>
      <c r="S533" s="41">
        <v>2</v>
      </c>
      <c r="T533" s="41">
        <v>4</v>
      </c>
      <c r="U533" s="42">
        <v>1320</v>
      </c>
      <c r="V533" s="41">
        <v>139.15</v>
      </c>
      <c r="W533" s="43">
        <v>35</v>
      </c>
      <c r="Y533" s="173" t="s">
        <v>661</v>
      </c>
    </row>
    <row r="534" spans="18:25">
      <c r="Y534" s="173"/>
    </row>
    <row r="535" spans="18:25">
      <c r="S535" s="52" t="s">
        <v>552</v>
      </c>
      <c r="Y535" s="173"/>
    </row>
    <row r="536" spans="18:25">
      <c r="R536" s="429" t="s">
        <v>490</v>
      </c>
      <c r="S536" s="430"/>
      <c r="T536" s="430"/>
      <c r="U536" s="430"/>
      <c r="V536" s="430"/>
      <c r="W536" s="431"/>
      <c r="Y536" s="171" t="s">
        <v>478</v>
      </c>
    </row>
    <row r="537" spans="18:25">
      <c r="R537" s="16" t="s">
        <v>497</v>
      </c>
      <c r="S537" s="16" t="s">
        <v>498</v>
      </c>
      <c r="T537" s="16" t="s">
        <v>483</v>
      </c>
      <c r="U537" s="16" t="s">
        <v>499</v>
      </c>
      <c r="V537" s="16" t="s">
        <v>500</v>
      </c>
      <c r="W537" s="17" t="s">
        <v>501</v>
      </c>
      <c r="Y537" s="172" t="s">
        <v>502</v>
      </c>
    </row>
    <row r="538" spans="18:25">
      <c r="R538" s="41" t="s">
        <v>508</v>
      </c>
      <c r="S538" s="41">
        <v>2</v>
      </c>
      <c r="T538" s="41">
        <v>2</v>
      </c>
      <c r="U538" s="42">
        <v>1356</v>
      </c>
      <c r="V538" s="41">
        <v>139.69</v>
      </c>
      <c r="W538" s="43">
        <v>40</v>
      </c>
      <c r="Y538" s="173" t="s">
        <v>509</v>
      </c>
    </row>
    <row r="539" spans="18:25">
      <c r="R539" s="41" t="s">
        <v>508</v>
      </c>
      <c r="S539" s="41">
        <v>2</v>
      </c>
      <c r="T539" s="41">
        <v>3</v>
      </c>
      <c r="U539" s="42">
        <v>1356</v>
      </c>
      <c r="V539" s="41">
        <v>140.16999999999999</v>
      </c>
      <c r="W539" s="43">
        <v>40</v>
      </c>
      <c r="Y539" s="173" t="s">
        <v>514</v>
      </c>
    </row>
    <row r="540" spans="18:25">
      <c r="R540" s="41" t="s">
        <v>508</v>
      </c>
      <c r="S540" s="41">
        <v>2</v>
      </c>
      <c r="T540" s="41">
        <v>4</v>
      </c>
      <c r="U540" s="42">
        <v>1356</v>
      </c>
      <c r="V540" s="41">
        <v>139.15</v>
      </c>
      <c r="W540" s="43">
        <v>40</v>
      </c>
      <c r="Y540" s="173" t="s">
        <v>518</v>
      </c>
    </row>
    <row r="541" spans="18:25">
      <c r="R541" s="41" t="s">
        <v>524</v>
      </c>
      <c r="S541" s="41">
        <v>4</v>
      </c>
      <c r="T541" s="41">
        <v>2</v>
      </c>
      <c r="U541" s="42">
        <v>1517</v>
      </c>
      <c r="V541" s="41">
        <v>135.41</v>
      </c>
      <c r="W541" s="43">
        <v>40</v>
      </c>
      <c r="Y541" s="173" t="s">
        <v>525</v>
      </c>
    </row>
    <row r="542" spans="18:25">
      <c r="R542" s="41" t="s">
        <v>524</v>
      </c>
      <c r="S542" s="41">
        <v>4</v>
      </c>
      <c r="T542" s="41">
        <v>3</v>
      </c>
      <c r="U542" s="42">
        <v>1517</v>
      </c>
      <c r="V542" s="157">
        <v>138.6</v>
      </c>
      <c r="W542" s="43">
        <v>40</v>
      </c>
      <c r="Y542" s="173" t="s">
        <v>529</v>
      </c>
    </row>
    <row r="543" spans="18:25">
      <c r="R543" s="41" t="s">
        <v>524</v>
      </c>
      <c r="S543" s="41">
        <v>4</v>
      </c>
      <c r="T543" s="41">
        <v>4</v>
      </c>
      <c r="U543" s="42">
        <v>1517</v>
      </c>
      <c r="V543" s="41">
        <v>135.63</v>
      </c>
      <c r="W543" s="43">
        <v>40</v>
      </c>
      <c r="Y543" s="173" t="s">
        <v>533</v>
      </c>
    </row>
    <row r="544" spans="18:25">
      <c r="R544" s="41" t="s">
        <v>538</v>
      </c>
      <c r="S544" s="41">
        <v>2</v>
      </c>
      <c r="T544" s="41">
        <v>2</v>
      </c>
      <c r="U544" s="42">
        <v>1231</v>
      </c>
      <c r="V544" s="41">
        <v>139.69</v>
      </c>
      <c r="W544" s="43">
        <v>30</v>
      </c>
      <c r="Y544" s="173" t="s">
        <v>539</v>
      </c>
    </row>
    <row r="545" spans="18:25">
      <c r="R545" s="41" t="s">
        <v>538</v>
      </c>
      <c r="S545" s="41">
        <v>2</v>
      </c>
      <c r="T545" s="41">
        <v>3</v>
      </c>
      <c r="U545" s="42">
        <v>1231</v>
      </c>
      <c r="V545" s="41">
        <v>140.16999999999999</v>
      </c>
      <c r="W545" s="43">
        <v>30</v>
      </c>
      <c r="Y545" s="173" t="s">
        <v>544</v>
      </c>
    </row>
    <row r="546" spans="18:25">
      <c r="R546" s="41" t="s">
        <v>538</v>
      </c>
      <c r="S546" s="41">
        <v>2</v>
      </c>
      <c r="T546" s="41">
        <v>4</v>
      </c>
      <c r="U546" s="42">
        <v>1231</v>
      </c>
      <c r="V546" s="41">
        <v>139.15</v>
      </c>
      <c r="W546" s="43">
        <v>30</v>
      </c>
      <c r="Y546" s="173" t="s">
        <v>549</v>
      </c>
    </row>
    <row r="547" spans="18:25">
      <c r="R547" s="41" t="s">
        <v>555</v>
      </c>
      <c r="S547" s="41">
        <v>2</v>
      </c>
      <c r="T547" s="41">
        <v>2</v>
      </c>
      <c r="U547" s="42">
        <v>1284</v>
      </c>
      <c r="V547" s="41">
        <v>139.69</v>
      </c>
      <c r="W547" s="43">
        <v>10</v>
      </c>
      <c r="Y547" s="173" t="s">
        <v>556</v>
      </c>
    </row>
    <row r="548" spans="18:25">
      <c r="R548" s="41" t="s">
        <v>555</v>
      </c>
      <c r="S548" s="41">
        <v>2</v>
      </c>
      <c r="T548" s="41">
        <v>3</v>
      </c>
      <c r="U548" s="42">
        <v>1284</v>
      </c>
      <c r="V548" s="41">
        <v>140.16999999999999</v>
      </c>
      <c r="W548" s="43">
        <v>10</v>
      </c>
      <c r="Y548" s="173" t="s">
        <v>561</v>
      </c>
    </row>
    <row r="549" spans="18:25">
      <c r="R549" s="41" t="s">
        <v>555</v>
      </c>
      <c r="S549" s="41">
        <v>2</v>
      </c>
      <c r="T549" s="41">
        <v>4</v>
      </c>
      <c r="U549" s="42">
        <v>1284</v>
      </c>
      <c r="V549" s="41">
        <v>139.15</v>
      </c>
      <c r="W549" s="43">
        <v>10</v>
      </c>
      <c r="Y549" s="173" t="s">
        <v>566</v>
      </c>
    </row>
    <row r="550" spans="18:25">
      <c r="R550" s="41" t="s">
        <v>570</v>
      </c>
      <c r="S550" s="41">
        <v>3</v>
      </c>
      <c r="T550" s="41">
        <v>2</v>
      </c>
      <c r="U550" s="42">
        <v>1477</v>
      </c>
      <c r="V550" s="41">
        <v>137.41999999999999</v>
      </c>
      <c r="W550" s="43">
        <v>40</v>
      </c>
      <c r="Y550" s="173" t="s">
        <v>571</v>
      </c>
    </row>
    <row r="551" spans="18:25">
      <c r="R551" s="41" t="s">
        <v>570</v>
      </c>
      <c r="S551" s="41">
        <v>3</v>
      </c>
      <c r="T551" s="41">
        <v>3</v>
      </c>
      <c r="U551" s="42">
        <v>1477</v>
      </c>
      <c r="V551" s="41">
        <v>139.79</v>
      </c>
      <c r="W551" s="43">
        <v>40</v>
      </c>
      <c r="Y551" s="173" t="s">
        <v>576</v>
      </c>
    </row>
    <row r="552" spans="18:25">
      <c r="R552" s="41" t="s">
        <v>570</v>
      </c>
      <c r="S552" s="41">
        <v>3</v>
      </c>
      <c r="T552" s="41">
        <v>4</v>
      </c>
      <c r="U552" s="42">
        <v>1477</v>
      </c>
      <c r="V552" s="41">
        <v>137.97</v>
      </c>
      <c r="W552" s="43">
        <v>40</v>
      </c>
      <c r="Y552" s="173" t="s">
        <v>580</v>
      </c>
    </row>
    <row r="553" spans="18:25">
      <c r="R553" s="41" t="s">
        <v>585</v>
      </c>
      <c r="S553" s="41">
        <v>6</v>
      </c>
      <c r="T553" s="41">
        <v>2</v>
      </c>
      <c r="U553" s="42">
        <v>1842</v>
      </c>
      <c r="V553" s="41">
        <v>135.41</v>
      </c>
      <c r="W553" s="43">
        <v>20</v>
      </c>
      <c r="Y553" s="173" t="s">
        <v>586</v>
      </c>
    </row>
    <row r="554" spans="18:25">
      <c r="R554" s="41" t="s">
        <v>585</v>
      </c>
      <c r="S554" s="41">
        <v>6</v>
      </c>
      <c r="T554" s="41">
        <v>3</v>
      </c>
      <c r="U554" s="42">
        <v>1842</v>
      </c>
      <c r="V554" s="157">
        <v>138.6</v>
      </c>
      <c r="W554" s="43">
        <v>20</v>
      </c>
      <c r="Y554" s="173" t="s">
        <v>589</v>
      </c>
    </row>
    <row r="555" spans="18:25">
      <c r="R555" s="41" t="s">
        <v>585</v>
      </c>
      <c r="S555" s="41">
        <v>6</v>
      </c>
      <c r="T555" s="41">
        <v>4</v>
      </c>
      <c r="U555" s="42">
        <v>1842</v>
      </c>
      <c r="V555" s="41">
        <v>135.63</v>
      </c>
      <c r="W555" s="43">
        <v>20</v>
      </c>
      <c r="Y555" s="173" t="s">
        <v>592</v>
      </c>
    </row>
    <row r="556" spans="18:25">
      <c r="R556" s="41" t="s">
        <v>595</v>
      </c>
      <c r="S556" s="41">
        <v>3</v>
      </c>
      <c r="T556" s="41">
        <v>2</v>
      </c>
      <c r="U556" s="42">
        <v>1396</v>
      </c>
      <c r="V556" s="41">
        <v>137.41999999999999</v>
      </c>
      <c r="W556" s="43">
        <v>30</v>
      </c>
      <c r="Y556" s="173" t="s">
        <v>596</v>
      </c>
    </row>
    <row r="557" spans="18:25">
      <c r="R557" s="41" t="s">
        <v>595</v>
      </c>
      <c r="S557" s="41">
        <v>3</v>
      </c>
      <c r="T557" s="41">
        <v>3</v>
      </c>
      <c r="U557" s="42">
        <v>1396</v>
      </c>
      <c r="V557" s="41">
        <v>139.79</v>
      </c>
      <c r="W557" s="43">
        <v>30</v>
      </c>
      <c r="Y557" s="173" t="s">
        <v>599</v>
      </c>
    </row>
    <row r="558" spans="18:25">
      <c r="R558" s="41" t="s">
        <v>595</v>
      </c>
      <c r="S558" s="41">
        <v>3</v>
      </c>
      <c r="T558" s="41">
        <v>4</v>
      </c>
      <c r="U558" s="42">
        <v>1396</v>
      </c>
      <c r="V558" s="41">
        <v>137.97</v>
      </c>
      <c r="W558" s="43">
        <v>30</v>
      </c>
      <c r="Y558" s="173" t="s">
        <v>603</v>
      </c>
    </row>
    <row r="559" spans="18:25">
      <c r="R559" s="41" t="s">
        <v>606</v>
      </c>
      <c r="S559" s="41">
        <v>5</v>
      </c>
      <c r="T559" s="41">
        <v>2</v>
      </c>
      <c r="U559" s="42">
        <v>1703</v>
      </c>
      <c r="V559" s="41">
        <v>135.41</v>
      </c>
      <c r="W559" s="43">
        <v>40</v>
      </c>
      <c r="Y559" s="173" t="s">
        <v>607</v>
      </c>
    </row>
    <row r="560" spans="18:25">
      <c r="R560" s="41" t="s">
        <v>606</v>
      </c>
      <c r="S560" s="41">
        <v>5</v>
      </c>
      <c r="T560" s="41">
        <v>3</v>
      </c>
      <c r="U560" s="42">
        <v>1703</v>
      </c>
      <c r="V560" s="157">
        <v>138.6</v>
      </c>
      <c r="W560" s="43">
        <v>40</v>
      </c>
      <c r="Y560" s="173" t="s">
        <v>610</v>
      </c>
    </row>
    <row r="561" spans="18:25">
      <c r="R561" s="41" t="s">
        <v>606</v>
      </c>
      <c r="S561" s="41">
        <v>5</v>
      </c>
      <c r="T561" s="41">
        <v>4</v>
      </c>
      <c r="U561" s="42">
        <v>1703</v>
      </c>
      <c r="V561" s="41">
        <v>135.63</v>
      </c>
      <c r="W561" s="43">
        <v>40</v>
      </c>
      <c r="Y561" s="173" t="s">
        <v>613</v>
      </c>
    </row>
    <row r="562" spans="18:25">
      <c r="R562" s="41" t="s">
        <v>616</v>
      </c>
      <c r="S562" s="41">
        <v>2</v>
      </c>
      <c r="T562" s="41">
        <v>2</v>
      </c>
      <c r="U562" s="42">
        <v>1144</v>
      </c>
      <c r="V562" s="41">
        <v>139.69</v>
      </c>
      <c r="W562" s="43">
        <v>10</v>
      </c>
      <c r="Y562" s="173" t="s">
        <v>617</v>
      </c>
    </row>
    <row r="563" spans="18:25">
      <c r="R563" s="41" t="s">
        <v>616</v>
      </c>
      <c r="S563" s="41">
        <v>2</v>
      </c>
      <c r="T563" s="41">
        <v>3</v>
      </c>
      <c r="U563" s="42">
        <v>1144</v>
      </c>
      <c r="V563" s="41">
        <v>140.16999999999999</v>
      </c>
      <c r="W563" s="43">
        <v>10</v>
      </c>
      <c r="Y563" s="173" t="s">
        <v>621</v>
      </c>
    </row>
    <row r="564" spans="18:25">
      <c r="R564" s="41" t="s">
        <v>616</v>
      </c>
      <c r="S564" s="41">
        <v>2</v>
      </c>
      <c r="T564" s="41">
        <v>4</v>
      </c>
      <c r="U564" s="42">
        <v>1144</v>
      </c>
      <c r="V564" s="41">
        <v>139.15</v>
      </c>
      <c r="W564" s="43">
        <v>10</v>
      </c>
      <c r="Y564" s="173" t="s">
        <v>624</v>
      </c>
    </row>
    <row r="565" spans="18:25">
      <c r="R565" s="41" t="s">
        <v>627</v>
      </c>
      <c r="S565" s="41">
        <v>4</v>
      </c>
      <c r="T565" s="41">
        <v>2</v>
      </c>
      <c r="U565" s="42">
        <v>1545</v>
      </c>
      <c r="V565" s="41">
        <v>135.41</v>
      </c>
      <c r="W565" s="43">
        <v>10</v>
      </c>
      <c r="Y565" s="173" t="s">
        <v>628</v>
      </c>
    </row>
    <row r="566" spans="18:25">
      <c r="R566" s="41" t="s">
        <v>627</v>
      </c>
      <c r="S566" s="41">
        <v>4</v>
      </c>
      <c r="T566" s="41">
        <v>3</v>
      </c>
      <c r="U566" s="42">
        <v>1545</v>
      </c>
      <c r="V566" s="157">
        <v>138.6</v>
      </c>
      <c r="W566" s="43">
        <v>10</v>
      </c>
      <c r="Y566" s="173" t="s">
        <v>631</v>
      </c>
    </row>
    <row r="567" spans="18:25">
      <c r="R567" s="41" t="s">
        <v>627</v>
      </c>
      <c r="S567" s="41">
        <v>4</v>
      </c>
      <c r="T567" s="41">
        <v>4</v>
      </c>
      <c r="U567" s="42">
        <v>1545</v>
      </c>
      <c r="V567" s="41">
        <v>135.63</v>
      </c>
      <c r="W567" s="43">
        <v>10</v>
      </c>
      <c r="Y567" s="173" t="s">
        <v>634</v>
      </c>
    </row>
    <row r="568" spans="18:25">
      <c r="R568" s="41" t="s">
        <v>636</v>
      </c>
      <c r="S568" s="41">
        <v>3</v>
      </c>
      <c r="T568" s="41">
        <v>2</v>
      </c>
      <c r="U568" s="42">
        <v>1400</v>
      </c>
      <c r="V568" s="41">
        <v>137.41999999999999</v>
      </c>
      <c r="W568" s="43">
        <v>30</v>
      </c>
      <c r="Y568" s="173" t="s">
        <v>637</v>
      </c>
    </row>
    <row r="569" spans="18:25">
      <c r="R569" s="41" t="s">
        <v>636</v>
      </c>
      <c r="S569" s="41">
        <v>3</v>
      </c>
      <c r="T569" s="41">
        <v>3</v>
      </c>
      <c r="U569" s="42">
        <v>1400</v>
      </c>
      <c r="V569" s="41">
        <v>139.79</v>
      </c>
      <c r="W569" s="43">
        <v>30</v>
      </c>
      <c r="Y569" s="173" t="s">
        <v>640</v>
      </c>
    </row>
    <row r="570" spans="18:25">
      <c r="R570" s="41" t="s">
        <v>636</v>
      </c>
      <c r="S570" s="41">
        <v>3</v>
      </c>
      <c r="T570" s="41">
        <v>4</v>
      </c>
      <c r="U570" s="42">
        <v>1400</v>
      </c>
      <c r="V570" s="41">
        <v>137.97</v>
      </c>
      <c r="W570" s="43">
        <v>30</v>
      </c>
      <c r="Y570" s="173" t="s">
        <v>642</v>
      </c>
    </row>
    <row r="571" spans="18:25">
      <c r="R571" s="41" t="s">
        <v>644</v>
      </c>
      <c r="S571" s="41">
        <v>2</v>
      </c>
      <c r="T571" s="41">
        <v>2</v>
      </c>
      <c r="U571" s="42">
        <v>1143</v>
      </c>
      <c r="V571" s="41">
        <v>139.69</v>
      </c>
      <c r="W571" s="43">
        <v>10</v>
      </c>
      <c r="Y571" s="173" t="s">
        <v>645</v>
      </c>
    </row>
    <row r="572" spans="18:25">
      <c r="R572" s="41" t="s">
        <v>644</v>
      </c>
      <c r="S572" s="41">
        <v>2</v>
      </c>
      <c r="T572" s="41">
        <v>3</v>
      </c>
      <c r="U572" s="42">
        <v>1143</v>
      </c>
      <c r="V572" s="41">
        <v>140.16999999999999</v>
      </c>
      <c r="W572" s="43">
        <v>10</v>
      </c>
      <c r="Y572" s="173" t="s">
        <v>648</v>
      </c>
    </row>
    <row r="573" spans="18:25">
      <c r="R573" s="41" t="s">
        <v>644</v>
      </c>
      <c r="S573" s="41">
        <v>2</v>
      </c>
      <c r="T573" s="41">
        <v>4</v>
      </c>
      <c r="U573" s="42">
        <v>1143</v>
      </c>
      <c r="V573" s="41">
        <v>139.15</v>
      </c>
      <c r="W573" s="43">
        <v>10</v>
      </c>
      <c r="Y573" s="173" t="s">
        <v>651</v>
      </c>
    </row>
    <row r="574" spans="18:25">
      <c r="R574" s="41" t="s">
        <v>654</v>
      </c>
      <c r="S574" s="41">
        <v>2</v>
      </c>
      <c r="T574" s="41">
        <v>2</v>
      </c>
      <c r="U574" s="42">
        <v>1320</v>
      </c>
      <c r="V574" s="41">
        <v>139.69</v>
      </c>
      <c r="W574" s="43">
        <v>35</v>
      </c>
      <c r="Y574" s="173" t="s">
        <v>655</v>
      </c>
    </row>
    <row r="575" spans="18:25">
      <c r="R575" s="41" t="s">
        <v>654</v>
      </c>
      <c r="S575" s="41">
        <v>2</v>
      </c>
      <c r="T575" s="41">
        <v>3</v>
      </c>
      <c r="U575" s="42">
        <v>1320</v>
      </c>
      <c r="V575" s="41">
        <v>140.16999999999999</v>
      </c>
      <c r="W575" s="43">
        <v>35</v>
      </c>
      <c r="Y575" s="173" t="s">
        <v>658</v>
      </c>
    </row>
    <row r="576" spans="18:25">
      <c r="R576" s="41" t="s">
        <v>654</v>
      </c>
      <c r="S576" s="41">
        <v>2</v>
      </c>
      <c r="T576" s="41">
        <v>4</v>
      </c>
      <c r="U576" s="42">
        <v>1320</v>
      </c>
      <c r="V576" s="41">
        <v>139.15</v>
      </c>
      <c r="W576" s="43">
        <v>35</v>
      </c>
      <c r="Y576" s="173" t="s">
        <v>661</v>
      </c>
    </row>
    <row r="577" spans="18:25">
      <c r="Y577" s="173"/>
    </row>
    <row r="578" spans="18:25">
      <c r="S578" s="52" t="s">
        <v>558</v>
      </c>
      <c r="Y578" s="173"/>
    </row>
    <row r="579" spans="18:25">
      <c r="R579" s="429" t="s">
        <v>490</v>
      </c>
      <c r="S579" s="430"/>
      <c r="T579" s="430"/>
      <c r="U579" s="430"/>
      <c r="V579" s="430"/>
      <c r="W579" s="431"/>
      <c r="Y579" s="171" t="s">
        <v>478</v>
      </c>
    </row>
    <row r="580" spans="18:25">
      <c r="R580" s="16" t="s">
        <v>497</v>
      </c>
      <c r="S580" s="16" t="s">
        <v>498</v>
      </c>
      <c r="T580" s="16" t="s">
        <v>483</v>
      </c>
      <c r="U580" s="16" t="s">
        <v>499</v>
      </c>
      <c r="V580" s="16" t="s">
        <v>500</v>
      </c>
      <c r="W580" s="17" t="s">
        <v>501</v>
      </c>
      <c r="Y580" s="172" t="s">
        <v>502</v>
      </c>
    </row>
    <row r="581" spans="18:25">
      <c r="R581" s="41" t="s">
        <v>508</v>
      </c>
      <c r="S581" s="41">
        <v>2</v>
      </c>
      <c r="T581" s="41">
        <v>2</v>
      </c>
      <c r="U581" s="42">
        <v>1356</v>
      </c>
      <c r="V581" s="41">
        <v>139.69</v>
      </c>
      <c r="W581" s="43">
        <v>40</v>
      </c>
      <c r="Y581" s="173" t="s">
        <v>509</v>
      </c>
    </row>
    <row r="582" spans="18:25">
      <c r="R582" s="41" t="s">
        <v>508</v>
      </c>
      <c r="S582" s="41">
        <v>2</v>
      </c>
      <c r="T582" s="41">
        <v>3</v>
      </c>
      <c r="U582" s="42">
        <v>1356</v>
      </c>
      <c r="V582" s="41">
        <v>140.16999999999999</v>
      </c>
      <c r="W582" s="43">
        <v>40</v>
      </c>
      <c r="Y582" s="173" t="s">
        <v>514</v>
      </c>
    </row>
    <row r="583" spans="18:25">
      <c r="R583" s="41" t="s">
        <v>508</v>
      </c>
      <c r="S583" s="41">
        <v>2</v>
      </c>
      <c r="T583" s="41">
        <v>4</v>
      </c>
      <c r="U583" s="42">
        <v>1356</v>
      </c>
      <c r="V583" s="41">
        <v>139.15</v>
      </c>
      <c r="W583" s="43">
        <v>40</v>
      </c>
      <c r="Y583" s="173" t="s">
        <v>518</v>
      </c>
    </row>
    <row r="584" spans="18:25">
      <c r="R584" s="41" t="s">
        <v>524</v>
      </c>
      <c r="S584" s="41">
        <v>4</v>
      </c>
      <c r="T584" s="41">
        <v>2</v>
      </c>
      <c r="U584" s="42">
        <v>1517</v>
      </c>
      <c r="V584" s="41">
        <v>135.41</v>
      </c>
      <c r="W584" s="43">
        <v>40</v>
      </c>
      <c r="Y584" s="173" t="s">
        <v>525</v>
      </c>
    </row>
    <row r="585" spans="18:25">
      <c r="R585" s="41" t="s">
        <v>524</v>
      </c>
      <c r="S585" s="41">
        <v>4</v>
      </c>
      <c r="T585" s="41">
        <v>3</v>
      </c>
      <c r="U585" s="42">
        <v>1517</v>
      </c>
      <c r="V585" s="157">
        <v>138.6</v>
      </c>
      <c r="W585" s="43">
        <v>40</v>
      </c>
      <c r="Y585" s="173" t="s">
        <v>529</v>
      </c>
    </row>
    <row r="586" spans="18:25">
      <c r="R586" s="41" t="s">
        <v>524</v>
      </c>
      <c r="S586" s="41">
        <v>4</v>
      </c>
      <c r="T586" s="41">
        <v>4</v>
      </c>
      <c r="U586" s="42">
        <v>1517</v>
      </c>
      <c r="V586" s="41">
        <v>135.63</v>
      </c>
      <c r="W586" s="43">
        <v>40</v>
      </c>
      <c r="Y586" s="173" t="s">
        <v>533</v>
      </c>
    </row>
    <row r="587" spans="18:25">
      <c r="R587" s="41" t="s">
        <v>538</v>
      </c>
      <c r="S587" s="41">
        <v>2</v>
      </c>
      <c r="T587" s="41">
        <v>2</v>
      </c>
      <c r="U587" s="42">
        <v>1231</v>
      </c>
      <c r="V587" s="41">
        <v>139.69</v>
      </c>
      <c r="W587" s="43">
        <v>30</v>
      </c>
      <c r="Y587" s="173" t="s">
        <v>539</v>
      </c>
    </row>
    <row r="588" spans="18:25">
      <c r="R588" s="41" t="s">
        <v>538</v>
      </c>
      <c r="S588" s="41">
        <v>2</v>
      </c>
      <c r="T588" s="41">
        <v>3</v>
      </c>
      <c r="U588" s="42">
        <v>1231</v>
      </c>
      <c r="V588" s="41">
        <v>140.16999999999999</v>
      </c>
      <c r="W588" s="43">
        <v>30</v>
      </c>
      <c r="Y588" s="173" t="s">
        <v>544</v>
      </c>
    </row>
    <row r="589" spans="18:25">
      <c r="R589" s="41" t="s">
        <v>538</v>
      </c>
      <c r="S589" s="41">
        <v>2</v>
      </c>
      <c r="T589" s="41">
        <v>4</v>
      </c>
      <c r="U589" s="42">
        <v>1231</v>
      </c>
      <c r="V589" s="41">
        <v>139.15</v>
      </c>
      <c r="W589" s="43">
        <v>30</v>
      </c>
      <c r="Y589" s="173" t="s">
        <v>549</v>
      </c>
    </row>
    <row r="590" spans="18:25">
      <c r="R590" s="41" t="s">
        <v>555</v>
      </c>
      <c r="S590" s="41">
        <v>2</v>
      </c>
      <c r="T590" s="41">
        <v>2</v>
      </c>
      <c r="U590" s="42">
        <v>1284</v>
      </c>
      <c r="V590" s="41">
        <v>139.69</v>
      </c>
      <c r="W590" s="43">
        <v>10</v>
      </c>
      <c r="Y590" s="173" t="s">
        <v>556</v>
      </c>
    </row>
    <row r="591" spans="18:25">
      <c r="R591" s="41" t="s">
        <v>555</v>
      </c>
      <c r="S591" s="41">
        <v>2</v>
      </c>
      <c r="T591" s="41">
        <v>3</v>
      </c>
      <c r="U591" s="42">
        <v>1284</v>
      </c>
      <c r="V591" s="41">
        <v>140.16999999999999</v>
      </c>
      <c r="W591" s="43">
        <v>10</v>
      </c>
      <c r="Y591" s="173" t="s">
        <v>561</v>
      </c>
    </row>
    <row r="592" spans="18:25">
      <c r="R592" s="41" t="s">
        <v>555</v>
      </c>
      <c r="S592" s="41">
        <v>2</v>
      </c>
      <c r="T592" s="41">
        <v>4</v>
      </c>
      <c r="U592" s="42">
        <v>1284</v>
      </c>
      <c r="V592" s="41">
        <v>139.15</v>
      </c>
      <c r="W592" s="43">
        <v>10</v>
      </c>
      <c r="Y592" s="173" t="s">
        <v>566</v>
      </c>
    </row>
    <row r="593" spans="18:25">
      <c r="R593" s="41" t="s">
        <v>570</v>
      </c>
      <c r="S593" s="41">
        <v>3</v>
      </c>
      <c r="T593" s="41">
        <v>2</v>
      </c>
      <c r="U593" s="42">
        <v>1477</v>
      </c>
      <c r="V593" s="41">
        <v>137.41999999999999</v>
      </c>
      <c r="W593" s="43">
        <v>40</v>
      </c>
      <c r="Y593" s="173" t="s">
        <v>571</v>
      </c>
    </row>
    <row r="594" spans="18:25">
      <c r="R594" s="41" t="s">
        <v>570</v>
      </c>
      <c r="S594" s="41">
        <v>3</v>
      </c>
      <c r="T594" s="41">
        <v>3</v>
      </c>
      <c r="U594" s="42">
        <v>1477</v>
      </c>
      <c r="V594" s="41">
        <v>139.79</v>
      </c>
      <c r="W594" s="43">
        <v>40</v>
      </c>
      <c r="Y594" s="173" t="s">
        <v>576</v>
      </c>
    </row>
    <row r="595" spans="18:25">
      <c r="R595" s="41" t="s">
        <v>570</v>
      </c>
      <c r="S595" s="41">
        <v>3</v>
      </c>
      <c r="T595" s="41">
        <v>4</v>
      </c>
      <c r="U595" s="42">
        <v>1477</v>
      </c>
      <c r="V595" s="41">
        <v>137.97</v>
      </c>
      <c r="W595" s="43">
        <v>40</v>
      </c>
      <c r="Y595" s="173" t="s">
        <v>580</v>
      </c>
    </row>
    <row r="596" spans="18:25">
      <c r="R596" s="41" t="s">
        <v>585</v>
      </c>
      <c r="S596" s="41">
        <v>6</v>
      </c>
      <c r="T596" s="41">
        <v>2</v>
      </c>
      <c r="U596" s="42">
        <v>1842</v>
      </c>
      <c r="V596" s="41">
        <v>135.41</v>
      </c>
      <c r="W596" s="43">
        <v>20</v>
      </c>
      <c r="Y596" s="173" t="s">
        <v>586</v>
      </c>
    </row>
    <row r="597" spans="18:25">
      <c r="R597" s="41" t="s">
        <v>585</v>
      </c>
      <c r="S597" s="41">
        <v>6</v>
      </c>
      <c r="T597" s="41">
        <v>3</v>
      </c>
      <c r="U597" s="42">
        <v>1842</v>
      </c>
      <c r="V597" s="157">
        <v>138.6</v>
      </c>
      <c r="W597" s="43">
        <v>20</v>
      </c>
      <c r="Y597" s="173" t="s">
        <v>589</v>
      </c>
    </row>
    <row r="598" spans="18:25">
      <c r="R598" s="41" t="s">
        <v>585</v>
      </c>
      <c r="S598" s="41">
        <v>6</v>
      </c>
      <c r="T598" s="41">
        <v>4</v>
      </c>
      <c r="U598" s="42">
        <v>1842</v>
      </c>
      <c r="V598" s="41">
        <v>135.63</v>
      </c>
      <c r="W598" s="43">
        <v>20</v>
      </c>
      <c r="Y598" s="173" t="s">
        <v>592</v>
      </c>
    </row>
    <row r="599" spans="18:25">
      <c r="R599" s="41" t="s">
        <v>595</v>
      </c>
      <c r="S599" s="41">
        <v>3</v>
      </c>
      <c r="T599" s="41">
        <v>2</v>
      </c>
      <c r="U599" s="42">
        <v>1396</v>
      </c>
      <c r="V599" s="41">
        <v>137.41999999999999</v>
      </c>
      <c r="W599" s="43">
        <v>30</v>
      </c>
      <c r="Y599" s="173" t="s">
        <v>596</v>
      </c>
    </row>
    <row r="600" spans="18:25">
      <c r="R600" s="41" t="s">
        <v>595</v>
      </c>
      <c r="S600" s="41">
        <v>3</v>
      </c>
      <c r="T600" s="41">
        <v>3</v>
      </c>
      <c r="U600" s="42">
        <v>1396</v>
      </c>
      <c r="V600" s="41">
        <v>139.79</v>
      </c>
      <c r="W600" s="43">
        <v>30</v>
      </c>
      <c r="Y600" s="173" t="s">
        <v>599</v>
      </c>
    </row>
    <row r="601" spans="18:25">
      <c r="R601" s="41" t="s">
        <v>595</v>
      </c>
      <c r="S601" s="41">
        <v>3</v>
      </c>
      <c r="T601" s="41">
        <v>4</v>
      </c>
      <c r="U601" s="42">
        <v>1396</v>
      </c>
      <c r="V601" s="41">
        <v>137.97</v>
      </c>
      <c r="W601" s="43">
        <v>30</v>
      </c>
      <c r="Y601" s="173" t="s">
        <v>603</v>
      </c>
    </row>
    <row r="602" spans="18:25">
      <c r="R602" s="41" t="s">
        <v>606</v>
      </c>
      <c r="S602" s="41">
        <v>5</v>
      </c>
      <c r="T602" s="41">
        <v>2</v>
      </c>
      <c r="U602" s="42">
        <v>1703</v>
      </c>
      <c r="V602" s="41">
        <v>135.41</v>
      </c>
      <c r="W602" s="43">
        <v>40</v>
      </c>
      <c r="Y602" s="173" t="s">
        <v>607</v>
      </c>
    </row>
    <row r="603" spans="18:25">
      <c r="R603" s="41" t="s">
        <v>606</v>
      </c>
      <c r="S603" s="41">
        <v>5</v>
      </c>
      <c r="T603" s="41">
        <v>3</v>
      </c>
      <c r="U603" s="42">
        <v>1703</v>
      </c>
      <c r="V603" s="157">
        <v>138.6</v>
      </c>
      <c r="W603" s="43">
        <v>40</v>
      </c>
      <c r="Y603" s="173" t="s">
        <v>610</v>
      </c>
    </row>
    <row r="604" spans="18:25">
      <c r="R604" s="41" t="s">
        <v>606</v>
      </c>
      <c r="S604" s="41">
        <v>5</v>
      </c>
      <c r="T604" s="41">
        <v>4</v>
      </c>
      <c r="U604" s="42">
        <v>1703</v>
      </c>
      <c r="V604" s="41">
        <v>135.63</v>
      </c>
      <c r="W604" s="43">
        <v>40</v>
      </c>
      <c r="Y604" s="173" t="s">
        <v>613</v>
      </c>
    </row>
    <row r="605" spans="18:25">
      <c r="R605" s="41" t="s">
        <v>616</v>
      </c>
      <c r="S605" s="41">
        <v>2</v>
      </c>
      <c r="T605" s="41">
        <v>2</v>
      </c>
      <c r="U605" s="42">
        <v>1144</v>
      </c>
      <c r="V605" s="41">
        <v>139.69</v>
      </c>
      <c r="W605" s="43">
        <v>10</v>
      </c>
      <c r="Y605" s="173" t="s">
        <v>617</v>
      </c>
    </row>
    <row r="606" spans="18:25">
      <c r="R606" s="41" t="s">
        <v>616</v>
      </c>
      <c r="S606" s="41">
        <v>2</v>
      </c>
      <c r="T606" s="41">
        <v>3</v>
      </c>
      <c r="U606" s="42">
        <v>1144</v>
      </c>
      <c r="V606" s="41">
        <v>140.16999999999999</v>
      </c>
      <c r="W606" s="43">
        <v>10</v>
      </c>
      <c r="Y606" s="173" t="s">
        <v>621</v>
      </c>
    </row>
    <row r="607" spans="18:25">
      <c r="R607" s="41" t="s">
        <v>616</v>
      </c>
      <c r="S607" s="41">
        <v>2</v>
      </c>
      <c r="T607" s="41">
        <v>4</v>
      </c>
      <c r="U607" s="42">
        <v>1144</v>
      </c>
      <c r="V607" s="41">
        <v>139.15</v>
      </c>
      <c r="W607" s="43">
        <v>10</v>
      </c>
      <c r="Y607" s="173" t="s">
        <v>624</v>
      </c>
    </row>
    <row r="608" spans="18:25">
      <c r="R608" s="41" t="s">
        <v>627</v>
      </c>
      <c r="S608" s="41">
        <v>4</v>
      </c>
      <c r="T608" s="41">
        <v>2</v>
      </c>
      <c r="U608" s="42">
        <v>1545</v>
      </c>
      <c r="V608" s="41">
        <v>135.41</v>
      </c>
      <c r="W608" s="43">
        <v>10</v>
      </c>
      <c r="Y608" s="173" t="s">
        <v>628</v>
      </c>
    </row>
    <row r="609" spans="18:25">
      <c r="R609" s="41" t="s">
        <v>627</v>
      </c>
      <c r="S609" s="41">
        <v>4</v>
      </c>
      <c r="T609" s="41">
        <v>3</v>
      </c>
      <c r="U609" s="42">
        <v>1545</v>
      </c>
      <c r="V609" s="157">
        <v>138.6</v>
      </c>
      <c r="W609" s="43">
        <v>10</v>
      </c>
      <c r="Y609" s="173" t="s">
        <v>631</v>
      </c>
    </row>
    <row r="610" spans="18:25">
      <c r="R610" s="41" t="s">
        <v>627</v>
      </c>
      <c r="S610" s="41">
        <v>4</v>
      </c>
      <c r="T610" s="41">
        <v>4</v>
      </c>
      <c r="U610" s="42">
        <v>1545</v>
      </c>
      <c r="V610" s="41">
        <v>135.63</v>
      </c>
      <c r="W610" s="43">
        <v>10</v>
      </c>
      <c r="Y610" s="173" t="s">
        <v>634</v>
      </c>
    </row>
    <row r="611" spans="18:25">
      <c r="R611" s="41" t="s">
        <v>636</v>
      </c>
      <c r="S611" s="41">
        <v>3</v>
      </c>
      <c r="T611" s="41">
        <v>2</v>
      </c>
      <c r="U611" s="42">
        <v>1400</v>
      </c>
      <c r="V611" s="41">
        <v>137.41999999999999</v>
      </c>
      <c r="W611" s="43">
        <v>30</v>
      </c>
      <c r="Y611" s="173" t="s">
        <v>637</v>
      </c>
    </row>
    <row r="612" spans="18:25">
      <c r="R612" s="41" t="s">
        <v>636</v>
      </c>
      <c r="S612" s="41">
        <v>3</v>
      </c>
      <c r="T612" s="41">
        <v>3</v>
      </c>
      <c r="U612" s="42">
        <v>1400</v>
      </c>
      <c r="V612" s="41">
        <v>139.79</v>
      </c>
      <c r="W612" s="43">
        <v>30</v>
      </c>
      <c r="Y612" s="173" t="s">
        <v>640</v>
      </c>
    </row>
    <row r="613" spans="18:25">
      <c r="R613" s="41" t="s">
        <v>636</v>
      </c>
      <c r="S613" s="41">
        <v>3</v>
      </c>
      <c r="T613" s="41">
        <v>4</v>
      </c>
      <c r="U613" s="42">
        <v>1400</v>
      </c>
      <c r="V613" s="41">
        <v>137.97</v>
      </c>
      <c r="W613" s="43">
        <v>30</v>
      </c>
      <c r="Y613" s="173" t="s">
        <v>642</v>
      </c>
    </row>
    <row r="614" spans="18:25">
      <c r="R614" s="41" t="s">
        <v>644</v>
      </c>
      <c r="S614" s="41">
        <v>2</v>
      </c>
      <c r="T614" s="41">
        <v>2</v>
      </c>
      <c r="U614" s="42">
        <v>1143</v>
      </c>
      <c r="V614" s="41">
        <v>139.69</v>
      </c>
      <c r="W614" s="43">
        <v>10</v>
      </c>
      <c r="Y614" s="173" t="s">
        <v>645</v>
      </c>
    </row>
    <row r="615" spans="18:25">
      <c r="R615" s="41" t="s">
        <v>644</v>
      </c>
      <c r="S615" s="41">
        <v>2</v>
      </c>
      <c r="T615" s="41">
        <v>3</v>
      </c>
      <c r="U615" s="42">
        <v>1143</v>
      </c>
      <c r="V615" s="41">
        <v>140.16999999999999</v>
      </c>
      <c r="W615" s="43">
        <v>10</v>
      </c>
      <c r="Y615" s="173" t="s">
        <v>648</v>
      </c>
    </row>
    <row r="616" spans="18:25">
      <c r="R616" s="41" t="s">
        <v>644</v>
      </c>
      <c r="S616" s="41">
        <v>2</v>
      </c>
      <c r="T616" s="41">
        <v>4</v>
      </c>
      <c r="U616" s="42">
        <v>1143</v>
      </c>
      <c r="V616" s="41">
        <v>139.15</v>
      </c>
      <c r="W616" s="43">
        <v>10</v>
      </c>
      <c r="Y616" s="173" t="s">
        <v>651</v>
      </c>
    </row>
    <row r="617" spans="18:25">
      <c r="R617" s="41" t="s">
        <v>654</v>
      </c>
      <c r="S617" s="41">
        <v>2</v>
      </c>
      <c r="T617" s="41">
        <v>2</v>
      </c>
      <c r="U617" s="42">
        <v>1320</v>
      </c>
      <c r="V617" s="41">
        <v>139.69</v>
      </c>
      <c r="W617" s="43">
        <v>35</v>
      </c>
      <c r="Y617" s="173" t="s">
        <v>655</v>
      </c>
    </row>
    <row r="618" spans="18:25">
      <c r="R618" s="41" t="s">
        <v>654</v>
      </c>
      <c r="S618" s="41">
        <v>2</v>
      </c>
      <c r="T618" s="41">
        <v>3</v>
      </c>
      <c r="U618" s="42">
        <v>1320</v>
      </c>
      <c r="V618" s="41">
        <v>140.16999999999999</v>
      </c>
      <c r="W618" s="43">
        <v>35</v>
      </c>
      <c r="Y618" s="173" t="s">
        <v>658</v>
      </c>
    </row>
    <row r="619" spans="18:25">
      <c r="R619" s="41" t="s">
        <v>654</v>
      </c>
      <c r="S619" s="41">
        <v>2</v>
      </c>
      <c r="T619" s="41">
        <v>4</v>
      </c>
      <c r="U619" s="42">
        <v>1320</v>
      </c>
      <c r="V619" s="41">
        <v>139.15</v>
      </c>
      <c r="W619" s="43">
        <v>35</v>
      </c>
      <c r="Y619" s="173" t="s">
        <v>661</v>
      </c>
    </row>
    <row r="620" spans="18:25">
      <c r="Y620" s="173"/>
    </row>
    <row r="621" spans="18:25">
      <c r="S621" s="52" t="s">
        <v>563</v>
      </c>
      <c r="Y621" s="173"/>
    </row>
    <row r="622" spans="18:25">
      <c r="R622" s="429" t="s">
        <v>490</v>
      </c>
      <c r="S622" s="430"/>
      <c r="T622" s="430"/>
      <c r="U622" s="430"/>
      <c r="V622" s="430"/>
      <c r="W622" s="431"/>
      <c r="Y622" s="171" t="s">
        <v>478</v>
      </c>
    </row>
    <row r="623" spans="18:25">
      <c r="R623" s="16" t="s">
        <v>497</v>
      </c>
      <c r="S623" s="16" t="s">
        <v>498</v>
      </c>
      <c r="T623" s="16" t="s">
        <v>483</v>
      </c>
      <c r="U623" s="16" t="s">
        <v>499</v>
      </c>
      <c r="V623" s="16" t="s">
        <v>500</v>
      </c>
      <c r="W623" s="17" t="s">
        <v>501</v>
      </c>
      <c r="Y623" s="172" t="s">
        <v>502</v>
      </c>
    </row>
    <row r="624" spans="18:25">
      <c r="R624" s="41" t="s">
        <v>508</v>
      </c>
      <c r="S624" s="41">
        <v>2</v>
      </c>
      <c r="T624" s="41">
        <v>2</v>
      </c>
      <c r="U624" s="42">
        <v>1356</v>
      </c>
      <c r="V624" s="41">
        <v>139.69</v>
      </c>
      <c r="W624" s="43">
        <v>40</v>
      </c>
      <c r="Y624" s="173" t="s">
        <v>509</v>
      </c>
    </row>
    <row r="625" spans="18:25">
      <c r="R625" s="41" t="s">
        <v>508</v>
      </c>
      <c r="S625" s="41">
        <v>2</v>
      </c>
      <c r="T625" s="41">
        <v>3</v>
      </c>
      <c r="U625" s="42">
        <v>1356</v>
      </c>
      <c r="V625" s="41">
        <v>140.16999999999999</v>
      </c>
      <c r="W625" s="43">
        <v>40</v>
      </c>
      <c r="Y625" s="173" t="s">
        <v>514</v>
      </c>
    </row>
    <row r="626" spans="18:25">
      <c r="R626" s="41" t="s">
        <v>508</v>
      </c>
      <c r="S626" s="41">
        <v>2</v>
      </c>
      <c r="T626" s="41">
        <v>4</v>
      </c>
      <c r="U626" s="42">
        <v>1356</v>
      </c>
      <c r="V626" s="41">
        <v>139.15</v>
      </c>
      <c r="W626" s="43">
        <v>40</v>
      </c>
      <c r="Y626" s="173" t="s">
        <v>518</v>
      </c>
    </row>
    <row r="627" spans="18:25">
      <c r="R627" s="41" t="s">
        <v>524</v>
      </c>
      <c r="S627" s="41">
        <v>4</v>
      </c>
      <c r="T627" s="41">
        <v>2</v>
      </c>
      <c r="U627" s="42">
        <v>1517</v>
      </c>
      <c r="V627" s="41">
        <v>135.41</v>
      </c>
      <c r="W627" s="43">
        <v>40</v>
      </c>
      <c r="Y627" s="173" t="s">
        <v>525</v>
      </c>
    </row>
    <row r="628" spans="18:25">
      <c r="R628" s="41" t="s">
        <v>524</v>
      </c>
      <c r="S628" s="41">
        <v>4</v>
      </c>
      <c r="T628" s="41">
        <v>3</v>
      </c>
      <c r="U628" s="42">
        <v>1517</v>
      </c>
      <c r="V628" s="157">
        <v>138.6</v>
      </c>
      <c r="W628" s="43">
        <v>40</v>
      </c>
      <c r="Y628" s="173" t="s">
        <v>529</v>
      </c>
    </row>
    <row r="629" spans="18:25">
      <c r="R629" s="41" t="s">
        <v>524</v>
      </c>
      <c r="S629" s="41">
        <v>4</v>
      </c>
      <c r="T629" s="41">
        <v>4</v>
      </c>
      <c r="U629" s="42">
        <v>1517</v>
      </c>
      <c r="V629" s="41">
        <v>135.63</v>
      </c>
      <c r="W629" s="43">
        <v>40</v>
      </c>
      <c r="Y629" s="173" t="s">
        <v>533</v>
      </c>
    </row>
    <row r="630" spans="18:25">
      <c r="R630" s="41" t="s">
        <v>538</v>
      </c>
      <c r="S630" s="41">
        <v>2</v>
      </c>
      <c r="T630" s="41">
        <v>2</v>
      </c>
      <c r="U630" s="42">
        <v>1231</v>
      </c>
      <c r="V630" s="41">
        <v>139.69</v>
      </c>
      <c r="W630" s="43">
        <v>30</v>
      </c>
      <c r="Y630" s="173" t="s">
        <v>539</v>
      </c>
    </row>
    <row r="631" spans="18:25">
      <c r="R631" s="41" t="s">
        <v>538</v>
      </c>
      <c r="S631" s="41">
        <v>2</v>
      </c>
      <c r="T631" s="41">
        <v>3</v>
      </c>
      <c r="U631" s="42">
        <v>1231</v>
      </c>
      <c r="V631" s="41">
        <v>140.16999999999999</v>
      </c>
      <c r="W631" s="43">
        <v>30</v>
      </c>
      <c r="Y631" s="173" t="s">
        <v>544</v>
      </c>
    </row>
    <row r="632" spans="18:25">
      <c r="R632" s="41" t="s">
        <v>538</v>
      </c>
      <c r="S632" s="41">
        <v>2</v>
      </c>
      <c r="T632" s="41">
        <v>4</v>
      </c>
      <c r="U632" s="42">
        <v>1231</v>
      </c>
      <c r="V632" s="41">
        <v>139.15</v>
      </c>
      <c r="W632" s="43">
        <v>30</v>
      </c>
      <c r="Y632" s="173" t="s">
        <v>549</v>
      </c>
    </row>
    <row r="633" spans="18:25">
      <c r="R633" s="41" t="s">
        <v>555</v>
      </c>
      <c r="S633" s="41">
        <v>2</v>
      </c>
      <c r="T633" s="41">
        <v>2</v>
      </c>
      <c r="U633" s="42">
        <v>1284</v>
      </c>
      <c r="V633" s="41">
        <v>139.69</v>
      </c>
      <c r="W633" s="43">
        <v>10</v>
      </c>
      <c r="Y633" s="173" t="s">
        <v>556</v>
      </c>
    </row>
    <row r="634" spans="18:25">
      <c r="R634" s="41" t="s">
        <v>555</v>
      </c>
      <c r="S634" s="41">
        <v>2</v>
      </c>
      <c r="T634" s="41">
        <v>3</v>
      </c>
      <c r="U634" s="42">
        <v>1284</v>
      </c>
      <c r="V634" s="41">
        <v>140.16999999999999</v>
      </c>
      <c r="W634" s="43">
        <v>10</v>
      </c>
      <c r="Y634" s="173" t="s">
        <v>561</v>
      </c>
    </row>
    <row r="635" spans="18:25">
      <c r="R635" s="41" t="s">
        <v>555</v>
      </c>
      <c r="S635" s="41">
        <v>2</v>
      </c>
      <c r="T635" s="41">
        <v>4</v>
      </c>
      <c r="U635" s="42">
        <v>1284</v>
      </c>
      <c r="V635" s="41">
        <v>139.15</v>
      </c>
      <c r="W635" s="43">
        <v>10</v>
      </c>
      <c r="Y635" s="173" t="s">
        <v>566</v>
      </c>
    </row>
    <row r="636" spans="18:25">
      <c r="R636" s="41" t="s">
        <v>570</v>
      </c>
      <c r="S636" s="41">
        <v>3</v>
      </c>
      <c r="T636" s="41">
        <v>2</v>
      </c>
      <c r="U636" s="42">
        <v>1477</v>
      </c>
      <c r="V636" s="41">
        <v>137.41999999999999</v>
      </c>
      <c r="W636" s="43">
        <v>40</v>
      </c>
      <c r="Y636" s="173" t="s">
        <v>571</v>
      </c>
    </row>
    <row r="637" spans="18:25">
      <c r="R637" s="41" t="s">
        <v>570</v>
      </c>
      <c r="S637" s="41">
        <v>3</v>
      </c>
      <c r="T637" s="41">
        <v>3</v>
      </c>
      <c r="U637" s="42">
        <v>1477</v>
      </c>
      <c r="V637" s="41">
        <v>139.79</v>
      </c>
      <c r="W637" s="43">
        <v>40</v>
      </c>
      <c r="Y637" s="173" t="s">
        <v>576</v>
      </c>
    </row>
    <row r="638" spans="18:25">
      <c r="R638" s="41" t="s">
        <v>570</v>
      </c>
      <c r="S638" s="41">
        <v>3</v>
      </c>
      <c r="T638" s="41">
        <v>4</v>
      </c>
      <c r="U638" s="42">
        <v>1477</v>
      </c>
      <c r="V638" s="41">
        <v>137.97</v>
      </c>
      <c r="W638" s="43">
        <v>40</v>
      </c>
      <c r="Y638" s="173" t="s">
        <v>580</v>
      </c>
    </row>
    <row r="639" spans="18:25">
      <c r="R639" s="41" t="s">
        <v>585</v>
      </c>
      <c r="S639" s="41">
        <v>6</v>
      </c>
      <c r="T639" s="41">
        <v>2</v>
      </c>
      <c r="U639" s="42">
        <v>1842</v>
      </c>
      <c r="V639" s="41">
        <v>135.41</v>
      </c>
      <c r="W639" s="43">
        <v>20</v>
      </c>
      <c r="Y639" s="173" t="s">
        <v>586</v>
      </c>
    </row>
    <row r="640" spans="18:25">
      <c r="R640" s="41" t="s">
        <v>585</v>
      </c>
      <c r="S640" s="41">
        <v>6</v>
      </c>
      <c r="T640" s="41">
        <v>3</v>
      </c>
      <c r="U640" s="42">
        <v>1842</v>
      </c>
      <c r="V640" s="157">
        <v>138.6</v>
      </c>
      <c r="W640" s="43">
        <v>20</v>
      </c>
      <c r="Y640" s="173" t="s">
        <v>589</v>
      </c>
    </row>
    <row r="641" spans="18:25">
      <c r="R641" s="41" t="s">
        <v>585</v>
      </c>
      <c r="S641" s="41">
        <v>6</v>
      </c>
      <c r="T641" s="41">
        <v>4</v>
      </c>
      <c r="U641" s="42">
        <v>1842</v>
      </c>
      <c r="V641" s="41">
        <v>135.63</v>
      </c>
      <c r="W641" s="43">
        <v>20</v>
      </c>
      <c r="Y641" s="173" t="s">
        <v>592</v>
      </c>
    </row>
    <row r="642" spans="18:25">
      <c r="R642" s="41" t="s">
        <v>595</v>
      </c>
      <c r="S642" s="41">
        <v>3</v>
      </c>
      <c r="T642" s="41">
        <v>2</v>
      </c>
      <c r="U642" s="42">
        <v>1396</v>
      </c>
      <c r="V642" s="41">
        <v>137.41999999999999</v>
      </c>
      <c r="W642" s="43">
        <v>30</v>
      </c>
      <c r="Y642" s="173" t="s">
        <v>596</v>
      </c>
    </row>
    <row r="643" spans="18:25">
      <c r="R643" s="41" t="s">
        <v>595</v>
      </c>
      <c r="S643" s="41">
        <v>3</v>
      </c>
      <c r="T643" s="41">
        <v>3</v>
      </c>
      <c r="U643" s="42">
        <v>1396</v>
      </c>
      <c r="V643" s="41">
        <v>139.79</v>
      </c>
      <c r="W643" s="43">
        <v>30</v>
      </c>
      <c r="Y643" s="173" t="s">
        <v>599</v>
      </c>
    </row>
    <row r="644" spans="18:25">
      <c r="R644" s="41" t="s">
        <v>595</v>
      </c>
      <c r="S644" s="41">
        <v>3</v>
      </c>
      <c r="T644" s="41">
        <v>4</v>
      </c>
      <c r="U644" s="42">
        <v>1396</v>
      </c>
      <c r="V644" s="41">
        <v>137.97</v>
      </c>
      <c r="W644" s="43">
        <v>30</v>
      </c>
      <c r="Y644" s="173" t="s">
        <v>603</v>
      </c>
    </row>
    <row r="645" spans="18:25">
      <c r="R645" s="41" t="s">
        <v>606</v>
      </c>
      <c r="S645" s="41">
        <v>5</v>
      </c>
      <c r="T645" s="41">
        <v>2</v>
      </c>
      <c r="U645" s="42">
        <v>1703</v>
      </c>
      <c r="V645" s="41">
        <v>135.41</v>
      </c>
      <c r="W645" s="43">
        <v>40</v>
      </c>
      <c r="Y645" s="173" t="s">
        <v>607</v>
      </c>
    </row>
    <row r="646" spans="18:25">
      <c r="R646" s="41" t="s">
        <v>606</v>
      </c>
      <c r="S646" s="41">
        <v>5</v>
      </c>
      <c r="T646" s="41">
        <v>3</v>
      </c>
      <c r="U646" s="42">
        <v>1703</v>
      </c>
      <c r="V646" s="157">
        <v>138.6</v>
      </c>
      <c r="W646" s="43">
        <v>40</v>
      </c>
      <c r="Y646" s="173" t="s">
        <v>610</v>
      </c>
    </row>
    <row r="647" spans="18:25">
      <c r="R647" s="41" t="s">
        <v>606</v>
      </c>
      <c r="S647" s="41">
        <v>5</v>
      </c>
      <c r="T647" s="41">
        <v>4</v>
      </c>
      <c r="U647" s="42">
        <v>1703</v>
      </c>
      <c r="V647" s="41">
        <v>135.63</v>
      </c>
      <c r="W647" s="43">
        <v>40</v>
      </c>
      <c r="Y647" s="173" t="s">
        <v>613</v>
      </c>
    </row>
    <row r="648" spans="18:25">
      <c r="R648" s="41" t="s">
        <v>616</v>
      </c>
      <c r="S648" s="41">
        <v>2</v>
      </c>
      <c r="T648" s="41">
        <v>2</v>
      </c>
      <c r="U648" s="42">
        <v>1144</v>
      </c>
      <c r="V648" s="41">
        <v>139.69</v>
      </c>
      <c r="W648" s="43">
        <v>10</v>
      </c>
      <c r="Y648" s="173" t="s">
        <v>617</v>
      </c>
    </row>
    <row r="649" spans="18:25">
      <c r="R649" s="41" t="s">
        <v>616</v>
      </c>
      <c r="S649" s="41">
        <v>2</v>
      </c>
      <c r="T649" s="41">
        <v>3</v>
      </c>
      <c r="U649" s="42">
        <v>1144</v>
      </c>
      <c r="V649" s="41">
        <v>140.16999999999999</v>
      </c>
      <c r="W649" s="43">
        <v>10</v>
      </c>
      <c r="Y649" s="173" t="s">
        <v>621</v>
      </c>
    </row>
    <row r="650" spans="18:25">
      <c r="R650" s="41" t="s">
        <v>616</v>
      </c>
      <c r="S650" s="41">
        <v>2</v>
      </c>
      <c r="T650" s="41">
        <v>4</v>
      </c>
      <c r="U650" s="42">
        <v>1144</v>
      </c>
      <c r="V650" s="41">
        <v>139.15</v>
      </c>
      <c r="W650" s="43">
        <v>10</v>
      </c>
      <c r="Y650" s="173" t="s">
        <v>624</v>
      </c>
    </row>
    <row r="651" spans="18:25">
      <c r="R651" s="41" t="s">
        <v>627</v>
      </c>
      <c r="S651" s="41">
        <v>4</v>
      </c>
      <c r="T651" s="41">
        <v>2</v>
      </c>
      <c r="U651" s="42">
        <v>1545</v>
      </c>
      <c r="V651" s="41">
        <v>135.41</v>
      </c>
      <c r="W651" s="43">
        <v>10</v>
      </c>
      <c r="Y651" s="173" t="s">
        <v>628</v>
      </c>
    </row>
    <row r="652" spans="18:25">
      <c r="R652" s="41" t="s">
        <v>627</v>
      </c>
      <c r="S652" s="41">
        <v>4</v>
      </c>
      <c r="T652" s="41">
        <v>3</v>
      </c>
      <c r="U652" s="42">
        <v>1545</v>
      </c>
      <c r="V652" s="157">
        <v>138.6</v>
      </c>
      <c r="W652" s="43">
        <v>10</v>
      </c>
      <c r="Y652" s="173" t="s">
        <v>631</v>
      </c>
    </row>
    <row r="653" spans="18:25">
      <c r="R653" s="41" t="s">
        <v>627</v>
      </c>
      <c r="S653" s="41">
        <v>4</v>
      </c>
      <c r="T653" s="41">
        <v>4</v>
      </c>
      <c r="U653" s="42">
        <v>1545</v>
      </c>
      <c r="V653" s="41">
        <v>135.63</v>
      </c>
      <c r="W653" s="43">
        <v>10</v>
      </c>
      <c r="Y653" s="173" t="s">
        <v>634</v>
      </c>
    </row>
    <row r="654" spans="18:25">
      <c r="R654" s="41" t="s">
        <v>636</v>
      </c>
      <c r="S654" s="41">
        <v>3</v>
      </c>
      <c r="T654" s="41">
        <v>2</v>
      </c>
      <c r="U654" s="42">
        <v>1400</v>
      </c>
      <c r="V654" s="41">
        <v>137.41999999999999</v>
      </c>
      <c r="W654" s="43">
        <v>30</v>
      </c>
      <c r="Y654" s="173" t="s">
        <v>637</v>
      </c>
    </row>
    <row r="655" spans="18:25">
      <c r="R655" s="41" t="s">
        <v>636</v>
      </c>
      <c r="S655" s="41">
        <v>3</v>
      </c>
      <c r="T655" s="41">
        <v>3</v>
      </c>
      <c r="U655" s="42">
        <v>1400</v>
      </c>
      <c r="V655" s="41">
        <v>139.79</v>
      </c>
      <c r="W655" s="43">
        <v>30</v>
      </c>
      <c r="Y655" s="173" t="s">
        <v>640</v>
      </c>
    </row>
    <row r="656" spans="18:25">
      <c r="R656" s="41" t="s">
        <v>636</v>
      </c>
      <c r="S656" s="41">
        <v>3</v>
      </c>
      <c r="T656" s="41">
        <v>4</v>
      </c>
      <c r="U656" s="42">
        <v>1400</v>
      </c>
      <c r="V656" s="41">
        <v>137.97</v>
      </c>
      <c r="W656" s="43">
        <v>30</v>
      </c>
      <c r="Y656" s="173" t="s">
        <v>642</v>
      </c>
    </row>
    <row r="657" spans="18:25">
      <c r="R657" s="41" t="s">
        <v>644</v>
      </c>
      <c r="S657" s="41">
        <v>2</v>
      </c>
      <c r="T657" s="41">
        <v>2</v>
      </c>
      <c r="U657" s="42">
        <v>1143</v>
      </c>
      <c r="V657" s="41">
        <v>139.69</v>
      </c>
      <c r="W657" s="43">
        <v>10</v>
      </c>
      <c r="Y657" s="173" t="s">
        <v>645</v>
      </c>
    </row>
    <row r="658" spans="18:25">
      <c r="R658" s="41" t="s">
        <v>644</v>
      </c>
      <c r="S658" s="41">
        <v>2</v>
      </c>
      <c r="T658" s="41">
        <v>3</v>
      </c>
      <c r="U658" s="42">
        <v>1143</v>
      </c>
      <c r="V658" s="41">
        <v>140.16999999999999</v>
      </c>
      <c r="W658" s="43">
        <v>10</v>
      </c>
      <c r="Y658" s="173" t="s">
        <v>648</v>
      </c>
    </row>
    <row r="659" spans="18:25">
      <c r="R659" s="41" t="s">
        <v>644</v>
      </c>
      <c r="S659" s="41">
        <v>2</v>
      </c>
      <c r="T659" s="41">
        <v>4</v>
      </c>
      <c r="U659" s="42">
        <v>1143</v>
      </c>
      <c r="V659" s="41">
        <v>139.15</v>
      </c>
      <c r="W659" s="43">
        <v>10</v>
      </c>
      <c r="Y659" s="173" t="s">
        <v>651</v>
      </c>
    </row>
    <row r="660" spans="18:25">
      <c r="R660" s="41" t="s">
        <v>654</v>
      </c>
      <c r="S660" s="41">
        <v>2</v>
      </c>
      <c r="T660" s="41">
        <v>2</v>
      </c>
      <c r="U660" s="42">
        <v>1320</v>
      </c>
      <c r="V660" s="41">
        <v>139.69</v>
      </c>
      <c r="W660" s="43">
        <v>35</v>
      </c>
      <c r="Y660" s="173" t="s">
        <v>655</v>
      </c>
    </row>
    <row r="661" spans="18:25">
      <c r="R661" s="41" t="s">
        <v>654</v>
      </c>
      <c r="S661" s="41">
        <v>2</v>
      </c>
      <c r="T661" s="41">
        <v>3</v>
      </c>
      <c r="U661" s="42">
        <v>1320</v>
      </c>
      <c r="V661" s="41">
        <v>140.16999999999999</v>
      </c>
      <c r="W661" s="43">
        <v>35</v>
      </c>
      <c r="Y661" s="173" t="s">
        <v>658</v>
      </c>
    </row>
    <row r="662" spans="18:25">
      <c r="R662" s="41" t="s">
        <v>654</v>
      </c>
      <c r="S662" s="41">
        <v>2</v>
      </c>
      <c r="T662" s="41">
        <v>4</v>
      </c>
      <c r="U662" s="42">
        <v>1320</v>
      </c>
      <c r="V662" s="41">
        <v>139.15</v>
      </c>
      <c r="W662" s="43">
        <v>35</v>
      </c>
      <c r="Y662" s="173" t="s">
        <v>661</v>
      </c>
    </row>
    <row r="663" spans="18:25">
      <c r="Y663" s="173"/>
    </row>
    <row r="664" spans="18:25">
      <c r="S664" s="52" t="s">
        <v>568</v>
      </c>
      <c r="Y664" s="173"/>
    </row>
    <row r="665" spans="18:25">
      <c r="R665" s="429" t="s">
        <v>490</v>
      </c>
      <c r="S665" s="430"/>
      <c r="T665" s="430"/>
      <c r="U665" s="430"/>
      <c r="V665" s="430"/>
      <c r="W665" s="431"/>
      <c r="Y665" s="171" t="s">
        <v>478</v>
      </c>
    </row>
    <row r="666" spans="18:25">
      <c r="R666" s="16" t="s">
        <v>497</v>
      </c>
      <c r="S666" s="16" t="s">
        <v>498</v>
      </c>
      <c r="T666" s="16" t="s">
        <v>483</v>
      </c>
      <c r="U666" s="16" t="s">
        <v>499</v>
      </c>
      <c r="V666" s="16" t="s">
        <v>500</v>
      </c>
      <c r="W666" s="17" t="s">
        <v>501</v>
      </c>
      <c r="Y666" s="172" t="s">
        <v>502</v>
      </c>
    </row>
    <row r="667" spans="18:25">
      <c r="R667" s="41" t="s">
        <v>508</v>
      </c>
      <c r="S667" s="41">
        <v>2</v>
      </c>
      <c r="T667" s="41">
        <v>2</v>
      </c>
      <c r="U667" s="42">
        <v>1356</v>
      </c>
      <c r="V667" s="41">
        <v>139.69</v>
      </c>
      <c r="W667" s="43">
        <v>40</v>
      </c>
      <c r="Y667" s="173" t="s">
        <v>509</v>
      </c>
    </row>
    <row r="668" spans="18:25">
      <c r="R668" s="41" t="s">
        <v>508</v>
      </c>
      <c r="S668" s="41">
        <v>2</v>
      </c>
      <c r="T668" s="41">
        <v>3</v>
      </c>
      <c r="U668" s="42">
        <v>1356</v>
      </c>
      <c r="V668" s="41">
        <v>140.16999999999999</v>
      </c>
      <c r="W668" s="43">
        <v>40</v>
      </c>
      <c r="Y668" s="173" t="s">
        <v>514</v>
      </c>
    </row>
    <row r="669" spans="18:25">
      <c r="R669" s="41" t="s">
        <v>508</v>
      </c>
      <c r="S669" s="41">
        <v>2</v>
      </c>
      <c r="T669" s="41">
        <v>4</v>
      </c>
      <c r="U669" s="42">
        <v>1356</v>
      </c>
      <c r="V669" s="41">
        <v>139.15</v>
      </c>
      <c r="W669" s="43">
        <v>40</v>
      </c>
      <c r="Y669" s="173" t="s">
        <v>518</v>
      </c>
    </row>
    <row r="670" spans="18:25">
      <c r="R670" s="41" t="s">
        <v>524</v>
      </c>
      <c r="S670" s="41">
        <v>4</v>
      </c>
      <c r="T670" s="41">
        <v>2</v>
      </c>
      <c r="U670" s="42">
        <v>1517</v>
      </c>
      <c r="V670" s="41">
        <v>135.41</v>
      </c>
      <c r="W670" s="43">
        <v>40</v>
      </c>
      <c r="Y670" s="173" t="s">
        <v>525</v>
      </c>
    </row>
    <row r="671" spans="18:25">
      <c r="R671" s="41" t="s">
        <v>524</v>
      </c>
      <c r="S671" s="41">
        <v>4</v>
      </c>
      <c r="T671" s="41">
        <v>3</v>
      </c>
      <c r="U671" s="42">
        <v>1517</v>
      </c>
      <c r="V671" s="157">
        <v>138.6</v>
      </c>
      <c r="W671" s="43">
        <v>40</v>
      </c>
      <c r="Y671" s="173" t="s">
        <v>529</v>
      </c>
    </row>
    <row r="672" spans="18:25">
      <c r="R672" s="41" t="s">
        <v>524</v>
      </c>
      <c r="S672" s="41">
        <v>4</v>
      </c>
      <c r="T672" s="41">
        <v>4</v>
      </c>
      <c r="U672" s="42">
        <v>1517</v>
      </c>
      <c r="V672" s="41">
        <v>135.63</v>
      </c>
      <c r="W672" s="43">
        <v>40</v>
      </c>
      <c r="Y672" s="173" t="s">
        <v>533</v>
      </c>
    </row>
    <row r="673" spans="18:25">
      <c r="R673" s="41" t="s">
        <v>538</v>
      </c>
      <c r="S673" s="41">
        <v>2</v>
      </c>
      <c r="T673" s="41">
        <v>2</v>
      </c>
      <c r="U673" s="42">
        <v>1231</v>
      </c>
      <c r="V673" s="41">
        <v>139.69</v>
      </c>
      <c r="W673" s="43">
        <v>30</v>
      </c>
      <c r="Y673" s="173" t="s">
        <v>539</v>
      </c>
    </row>
    <row r="674" spans="18:25">
      <c r="R674" s="41" t="s">
        <v>538</v>
      </c>
      <c r="S674" s="41">
        <v>2</v>
      </c>
      <c r="T674" s="41">
        <v>3</v>
      </c>
      <c r="U674" s="42">
        <v>1231</v>
      </c>
      <c r="V674" s="41">
        <v>140.16999999999999</v>
      </c>
      <c r="W674" s="43">
        <v>30</v>
      </c>
      <c r="Y674" s="173" t="s">
        <v>544</v>
      </c>
    </row>
    <row r="675" spans="18:25">
      <c r="R675" s="41" t="s">
        <v>538</v>
      </c>
      <c r="S675" s="41">
        <v>2</v>
      </c>
      <c r="T675" s="41">
        <v>4</v>
      </c>
      <c r="U675" s="42">
        <v>1231</v>
      </c>
      <c r="V675" s="41">
        <v>139.15</v>
      </c>
      <c r="W675" s="43">
        <v>30</v>
      </c>
      <c r="Y675" s="173" t="s">
        <v>549</v>
      </c>
    </row>
    <row r="676" spans="18:25">
      <c r="R676" s="41" t="s">
        <v>555</v>
      </c>
      <c r="S676" s="41">
        <v>2</v>
      </c>
      <c r="T676" s="41">
        <v>2</v>
      </c>
      <c r="U676" s="42">
        <v>1284</v>
      </c>
      <c r="V676" s="41">
        <v>139.69</v>
      </c>
      <c r="W676" s="43">
        <v>10</v>
      </c>
      <c r="Y676" s="173" t="s">
        <v>556</v>
      </c>
    </row>
    <row r="677" spans="18:25">
      <c r="R677" s="41" t="s">
        <v>555</v>
      </c>
      <c r="S677" s="41">
        <v>2</v>
      </c>
      <c r="T677" s="41">
        <v>3</v>
      </c>
      <c r="U677" s="42">
        <v>1284</v>
      </c>
      <c r="V677" s="41">
        <v>140.16999999999999</v>
      </c>
      <c r="W677" s="43">
        <v>10</v>
      </c>
      <c r="Y677" s="173" t="s">
        <v>561</v>
      </c>
    </row>
    <row r="678" spans="18:25">
      <c r="R678" s="41" t="s">
        <v>555</v>
      </c>
      <c r="S678" s="41">
        <v>2</v>
      </c>
      <c r="T678" s="41">
        <v>4</v>
      </c>
      <c r="U678" s="42">
        <v>1284</v>
      </c>
      <c r="V678" s="41">
        <v>139.15</v>
      </c>
      <c r="W678" s="43">
        <v>10</v>
      </c>
      <c r="Y678" s="173" t="s">
        <v>566</v>
      </c>
    </row>
    <row r="679" spans="18:25">
      <c r="R679" s="41" t="s">
        <v>570</v>
      </c>
      <c r="S679" s="41">
        <v>3</v>
      </c>
      <c r="T679" s="41">
        <v>2</v>
      </c>
      <c r="U679" s="42">
        <v>1477</v>
      </c>
      <c r="V679" s="41">
        <v>137.41999999999999</v>
      </c>
      <c r="W679" s="43">
        <v>40</v>
      </c>
      <c r="Y679" s="173" t="s">
        <v>571</v>
      </c>
    </row>
    <row r="680" spans="18:25">
      <c r="R680" s="41" t="s">
        <v>570</v>
      </c>
      <c r="S680" s="41">
        <v>3</v>
      </c>
      <c r="T680" s="41">
        <v>3</v>
      </c>
      <c r="U680" s="42">
        <v>1477</v>
      </c>
      <c r="V680" s="41">
        <v>139.79</v>
      </c>
      <c r="W680" s="43">
        <v>40</v>
      </c>
      <c r="Y680" s="173" t="s">
        <v>576</v>
      </c>
    </row>
    <row r="681" spans="18:25">
      <c r="R681" s="41" t="s">
        <v>570</v>
      </c>
      <c r="S681" s="41">
        <v>3</v>
      </c>
      <c r="T681" s="41">
        <v>4</v>
      </c>
      <c r="U681" s="42">
        <v>1477</v>
      </c>
      <c r="V681" s="41">
        <v>137.97</v>
      </c>
      <c r="W681" s="43">
        <v>40</v>
      </c>
      <c r="Y681" s="173" t="s">
        <v>580</v>
      </c>
    </row>
    <row r="682" spans="18:25">
      <c r="R682" s="41" t="s">
        <v>585</v>
      </c>
      <c r="S682" s="41">
        <v>6</v>
      </c>
      <c r="T682" s="41">
        <v>2</v>
      </c>
      <c r="U682" s="42">
        <v>1842</v>
      </c>
      <c r="V682" s="41">
        <v>135.41</v>
      </c>
      <c r="W682" s="43">
        <v>20</v>
      </c>
      <c r="Y682" s="173" t="s">
        <v>586</v>
      </c>
    </row>
    <row r="683" spans="18:25">
      <c r="R683" s="41" t="s">
        <v>585</v>
      </c>
      <c r="S683" s="41">
        <v>6</v>
      </c>
      <c r="T683" s="41">
        <v>3</v>
      </c>
      <c r="U683" s="42">
        <v>1842</v>
      </c>
      <c r="V683" s="157">
        <v>138.6</v>
      </c>
      <c r="W683" s="43">
        <v>20</v>
      </c>
      <c r="Y683" s="173" t="s">
        <v>589</v>
      </c>
    </row>
    <row r="684" spans="18:25">
      <c r="R684" s="41" t="s">
        <v>585</v>
      </c>
      <c r="S684" s="41">
        <v>6</v>
      </c>
      <c r="T684" s="41">
        <v>4</v>
      </c>
      <c r="U684" s="42">
        <v>1842</v>
      </c>
      <c r="V684" s="41">
        <v>135.63</v>
      </c>
      <c r="W684" s="43">
        <v>20</v>
      </c>
      <c r="Y684" s="173" t="s">
        <v>592</v>
      </c>
    </row>
    <row r="685" spans="18:25">
      <c r="R685" s="41" t="s">
        <v>595</v>
      </c>
      <c r="S685" s="41">
        <v>3</v>
      </c>
      <c r="T685" s="41">
        <v>2</v>
      </c>
      <c r="U685" s="42">
        <v>1396</v>
      </c>
      <c r="V685" s="41">
        <v>137.41999999999999</v>
      </c>
      <c r="W685" s="43">
        <v>30</v>
      </c>
      <c r="Y685" s="173" t="s">
        <v>596</v>
      </c>
    </row>
    <row r="686" spans="18:25">
      <c r="R686" s="41" t="s">
        <v>595</v>
      </c>
      <c r="S686" s="41">
        <v>3</v>
      </c>
      <c r="T686" s="41">
        <v>3</v>
      </c>
      <c r="U686" s="42">
        <v>1396</v>
      </c>
      <c r="V686" s="41">
        <v>139.79</v>
      </c>
      <c r="W686" s="43">
        <v>30</v>
      </c>
      <c r="Y686" s="173" t="s">
        <v>599</v>
      </c>
    </row>
    <row r="687" spans="18:25">
      <c r="R687" s="41" t="s">
        <v>595</v>
      </c>
      <c r="S687" s="41">
        <v>3</v>
      </c>
      <c r="T687" s="41">
        <v>4</v>
      </c>
      <c r="U687" s="42">
        <v>1396</v>
      </c>
      <c r="V687" s="41">
        <v>137.97</v>
      </c>
      <c r="W687" s="43">
        <v>30</v>
      </c>
      <c r="Y687" s="173" t="s">
        <v>603</v>
      </c>
    </row>
    <row r="688" spans="18:25">
      <c r="R688" s="41" t="s">
        <v>606</v>
      </c>
      <c r="S688" s="41">
        <v>5</v>
      </c>
      <c r="T688" s="41">
        <v>2</v>
      </c>
      <c r="U688" s="42">
        <v>1703</v>
      </c>
      <c r="V688" s="41">
        <v>135.41</v>
      </c>
      <c r="W688" s="43">
        <v>40</v>
      </c>
      <c r="Y688" s="173" t="s">
        <v>607</v>
      </c>
    </row>
    <row r="689" spans="18:25">
      <c r="R689" s="41" t="s">
        <v>606</v>
      </c>
      <c r="S689" s="41">
        <v>5</v>
      </c>
      <c r="T689" s="41">
        <v>3</v>
      </c>
      <c r="U689" s="42">
        <v>1703</v>
      </c>
      <c r="V689" s="157">
        <v>138.6</v>
      </c>
      <c r="W689" s="43">
        <v>40</v>
      </c>
      <c r="Y689" s="173" t="s">
        <v>610</v>
      </c>
    </row>
    <row r="690" spans="18:25">
      <c r="R690" s="41" t="s">
        <v>606</v>
      </c>
      <c r="S690" s="41">
        <v>5</v>
      </c>
      <c r="T690" s="41">
        <v>4</v>
      </c>
      <c r="U690" s="42">
        <v>1703</v>
      </c>
      <c r="V690" s="41">
        <v>135.63</v>
      </c>
      <c r="W690" s="43">
        <v>40</v>
      </c>
      <c r="Y690" s="173" t="s">
        <v>613</v>
      </c>
    </row>
    <row r="691" spans="18:25">
      <c r="R691" s="41" t="s">
        <v>616</v>
      </c>
      <c r="S691" s="41">
        <v>2</v>
      </c>
      <c r="T691" s="41">
        <v>2</v>
      </c>
      <c r="U691" s="42">
        <v>1144</v>
      </c>
      <c r="V691" s="41">
        <v>139.69</v>
      </c>
      <c r="W691" s="43">
        <v>10</v>
      </c>
      <c r="Y691" s="173" t="s">
        <v>617</v>
      </c>
    </row>
    <row r="692" spans="18:25">
      <c r="R692" s="41" t="s">
        <v>616</v>
      </c>
      <c r="S692" s="41">
        <v>2</v>
      </c>
      <c r="T692" s="41">
        <v>3</v>
      </c>
      <c r="U692" s="42">
        <v>1144</v>
      </c>
      <c r="V692" s="41">
        <v>140.16999999999999</v>
      </c>
      <c r="W692" s="43">
        <v>10</v>
      </c>
      <c r="Y692" s="173" t="s">
        <v>621</v>
      </c>
    </row>
    <row r="693" spans="18:25">
      <c r="R693" s="41" t="s">
        <v>616</v>
      </c>
      <c r="S693" s="41">
        <v>2</v>
      </c>
      <c r="T693" s="41">
        <v>4</v>
      </c>
      <c r="U693" s="42">
        <v>1144</v>
      </c>
      <c r="V693" s="41">
        <v>139.15</v>
      </c>
      <c r="W693" s="43">
        <v>10</v>
      </c>
      <c r="Y693" s="173" t="s">
        <v>624</v>
      </c>
    </row>
    <row r="694" spans="18:25">
      <c r="R694" s="41" t="s">
        <v>627</v>
      </c>
      <c r="S694" s="41">
        <v>4</v>
      </c>
      <c r="T694" s="41">
        <v>2</v>
      </c>
      <c r="U694" s="42">
        <v>1545</v>
      </c>
      <c r="V694" s="41">
        <v>135.41</v>
      </c>
      <c r="W694" s="43">
        <v>10</v>
      </c>
      <c r="Y694" s="173" t="s">
        <v>628</v>
      </c>
    </row>
    <row r="695" spans="18:25">
      <c r="R695" s="41" t="s">
        <v>627</v>
      </c>
      <c r="S695" s="41">
        <v>4</v>
      </c>
      <c r="T695" s="41">
        <v>3</v>
      </c>
      <c r="U695" s="42">
        <v>1545</v>
      </c>
      <c r="V695" s="157">
        <v>138.6</v>
      </c>
      <c r="W695" s="43">
        <v>10</v>
      </c>
      <c r="Y695" s="173" t="s">
        <v>631</v>
      </c>
    </row>
    <row r="696" spans="18:25">
      <c r="R696" s="41" t="s">
        <v>627</v>
      </c>
      <c r="S696" s="41">
        <v>4</v>
      </c>
      <c r="T696" s="41">
        <v>4</v>
      </c>
      <c r="U696" s="42">
        <v>1545</v>
      </c>
      <c r="V696" s="41">
        <v>135.63</v>
      </c>
      <c r="W696" s="43">
        <v>10</v>
      </c>
      <c r="Y696" s="173" t="s">
        <v>634</v>
      </c>
    </row>
    <row r="697" spans="18:25">
      <c r="R697" s="41" t="s">
        <v>636</v>
      </c>
      <c r="S697" s="41">
        <v>3</v>
      </c>
      <c r="T697" s="41">
        <v>2</v>
      </c>
      <c r="U697" s="42">
        <v>1400</v>
      </c>
      <c r="V697" s="41">
        <v>137.41999999999999</v>
      </c>
      <c r="W697" s="43">
        <v>30</v>
      </c>
      <c r="Y697" s="173" t="s">
        <v>637</v>
      </c>
    </row>
    <row r="698" spans="18:25">
      <c r="R698" s="41" t="s">
        <v>636</v>
      </c>
      <c r="S698" s="41">
        <v>3</v>
      </c>
      <c r="T698" s="41">
        <v>3</v>
      </c>
      <c r="U698" s="42">
        <v>1400</v>
      </c>
      <c r="V698" s="41">
        <v>139.79</v>
      </c>
      <c r="W698" s="43">
        <v>30</v>
      </c>
      <c r="Y698" s="173" t="s">
        <v>640</v>
      </c>
    </row>
    <row r="699" spans="18:25">
      <c r="R699" s="41" t="s">
        <v>636</v>
      </c>
      <c r="S699" s="41">
        <v>3</v>
      </c>
      <c r="T699" s="41">
        <v>4</v>
      </c>
      <c r="U699" s="42">
        <v>1400</v>
      </c>
      <c r="V699" s="41">
        <v>137.97</v>
      </c>
      <c r="W699" s="43">
        <v>30</v>
      </c>
      <c r="Y699" s="173" t="s">
        <v>642</v>
      </c>
    </row>
    <row r="700" spans="18:25">
      <c r="R700" s="41" t="s">
        <v>644</v>
      </c>
      <c r="S700" s="41">
        <v>2</v>
      </c>
      <c r="T700" s="41">
        <v>2</v>
      </c>
      <c r="U700" s="42">
        <v>1143</v>
      </c>
      <c r="V700" s="41">
        <v>139.69</v>
      </c>
      <c r="W700" s="43">
        <v>10</v>
      </c>
      <c r="Y700" s="173" t="s">
        <v>645</v>
      </c>
    </row>
    <row r="701" spans="18:25">
      <c r="R701" s="41" t="s">
        <v>644</v>
      </c>
      <c r="S701" s="41">
        <v>2</v>
      </c>
      <c r="T701" s="41">
        <v>3</v>
      </c>
      <c r="U701" s="42">
        <v>1143</v>
      </c>
      <c r="V701" s="41">
        <v>140.16999999999999</v>
      </c>
      <c r="W701" s="43">
        <v>10</v>
      </c>
      <c r="Y701" s="173" t="s">
        <v>648</v>
      </c>
    </row>
    <row r="702" spans="18:25">
      <c r="R702" s="41" t="s">
        <v>644</v>
      </c>
      <c r="S702" s="41">
        <v>2</v>
      </c>
      <c r="T702" s="41">
        <v>4</v>
      </c>
      <c r="U702" s="42">
        <v>1143</v>
      </c>
      <c r="V702" s="41">
        <v>139.15</v>
      </c>
      <c r="W702" s="43">
        <v>10</v>
      </c>
      <c r="Y702" s="173" t="s">
        <v>651</v>
      </c>
    </row>
    <row r="703" spans="18:25">
      <c r="R703" s="41" t="s">
        <v>654</v>
      </c>
      <c r="S703" s="41">
        <v>2</v>
      </c>
      <c r="T703" s="41">
        <v>2</v>
      </c>
      <c r="U703" s="42">
        <v>1320</v>
      </c>
      <c r="V703" s="41">
        <v>139.69</v>
      </c>
      <c r="W703" s="43">
        <v>35</v>
      </c>
      <c r="Y703" s="173" t="s">
        <v>655</v>
      </c>
    </row>
    <row r="704" spans="18:25">
      <c r="R704" s="41" t="s">
        <v>654</v>
      </c>
      <c r="S704" s="41">
        <v>2</v>
      </c>
      <c r="T704" s="41">
        <v>3</v>
      </c>
      <c r="U704" s="42">
        <v>1320</v>
      </c>
      <c r="V704" s="41">
        <v>140.16999999999999</v>
      </c>
      <c r="W704" s="43">
        <v>35</v>
      </c>
      <c r="Y704" s="173" t="s">
        <v>658</v>
      </c>
    </row>
    <row r="705" spans="18:25">
      <c r="R705" s="41" t="s">
        <v>654</v>
      </c>
      <c r="S705" s="41">
        <v>2</v>
      </c>
      <c r="T705" s="41">
        <v>4</v>
      </c>
      <c r="U705" s="42">
        <v>1320</v>
      </c>
      <c r="V705" s="41">
        <v>139.15</v>
      </c>
      <c r="W705" s="43">
        <v>35</v>
      </c>
      <c r="Y705" s="173" t="s">
        <v>661</v>
      </c>
    </row>
    <row r="706" spans="18:25">
      <c r="Y706" s="173"/>
    </row>
    <row r="707" spans="18:25">
      <c r="S707" s="52" t="s">
        <v>573</v>
      </c>
      <c r="Y707" s="173"/>
    </row>
    <row r="708" spans="18:25">
      <c r="R708" s="429" t="s">
        <v>490</v>
      </c>
      <c r="S708" s="430"/>
      <c r="T708" s="430"/>
      <c r="U708" s="430"/>
      <c r="V708" s="430"/>
      <c r="W708" s="431"/>
      <c r="Y708" s="171" t="s">
        <v>478</v>
      </c>
    </row>
    <row r="709" spans="18:25">
      <c r="R709" s="16" t="s">
        <v>497</v>
      </c>
      <c r="S709" s="16" t="s">
        <v>498</v>
      </c>
      <c r="T709" s="16" t="s">
        <v>483</v>
      </c>
      <c r="U709" s="16" t="s">
        <v>499</v>
      </c>
      <c r="V709" s="16" t="s">
        <v>500</v>
      </c>
      <c r="W709" s="17" t="s">
        <v>501</v>
      </c>
      <c r="Y709" s="172" t="s">
        <v>502</v>
      </c>
    </row>
    <row r="710" spans="18:25">
      <c r="R710" s="41" t="s">
        <v>508</v>
      </c>
      <c r="S710" s="41">
        <v>2</v>
      </c>
      <c r="T710" s="41">
        <v>2</v>
      </c>
      <c r="U710" s="42">
        <v>1356</v>
      </c>
      <c r="V710" s="41">
        <v>139.69</v>
      </c>
      <c r="W710" s="43">
        <v>40</v>
      </c>
      <c r="Y710" s="173" t="s">
        <v>509</v>
      </c>
    </row>
    <row r="711" spans="18:25">
      <c r="R711" s="41" t="s">
        <v>508</v>
      </c>
      <c r="S711" s="41">
        <v>2</v>
      </c>
      <c r="T711" s="41">
        <v>3</v>
      </c>
      <c r="U711" s="42">
        <v>1356</v>
      </c>
      <c r="V711" s="41">
        <v>140.16999999999999</v>
      </c>
      <c r="W711" s="43">
        <v>40</v>
      </c>
      <c r="Y711" s="173" t="s">
        <v>514</v>
      </c>
    </row>
    <row r="712" spans="18:25">
      <c r="R712" s="41" t="s">
        <v>508</v>
      </c>
      <c r="S712" s="41">
        <v>2</v>
      </c>
      <c r="T712" s="41">
        <v>4</v>
      </c>
      <c r="U712" s="42">
        <v>1356</v>
      </c>
      <c r="V712" s="41">
        <v>139.15</v>
      </c>
      <c r="W712" s="43">
        <v>40</v>
      </c>
      <c r="Y712" s="173" t="s">
        <v>518</v>
      </c>
    </row>
    <row r="713" spans="18:25">
      <c r="R713" s="41" t="s">
        <v>524</v>
      </c>
      <c r="S713" s="41">
        <v>4</v>
      </c>
      <c r="T713" s="41">
        <v>2</v>
      </c>
      <c r="U713" s="42">
        <v>1517</v>
      </c>
      <c r="V713" s="41">
        <v>135.41</v>
      </c>
      <c r="W713" s="43">
        <v>40</v>
      </c>
      <c r="Y713" s="173" t="s">
        <v>525</v>
      </c>
    </row>
    <row r="714" spans="18:25">
      <c r="R714" s="41" t="s">
        <v>524</v>
      </c>
      <c r="S714" s="41">
        <v>4</v>
      </c>
      <c r="T714" s="41">
        <v>3</v>
      </c>
      <c r="U714" s="42">
        <v>1517</v>
      </c>
      <c r="V714" s="157">
        <v>138.6</v>
      </c>
      <c r="W714" s="43">
        <v>40</v>
      </c>
      <c r="Y714" s="173" t="s">
        <v>529</v>
      </c>
    </row>
    <row r="715" spans="18:25">
      <c r="R715" s="41" t="s">
        <v>524</v>
      </c>
      <c r="S715" s="41">
        <v>4</v>
      </c>
      <c r="T715" s="41">
        <v>4</v>
      </c>
      <c r="U715" s="42">
        <v>1517</v>
      </c>
      <c r="V715" s="41">
        <v>135.63</v>
      </c>
      <c r="W715" s="43">
        <v>40</v>
      </c>
      <c r="Y715" s="173" t="s">
        <v>533</v>
      </c>
    </row>
    <row r="716" spans="18:25">
      <c r="R716" s="41" t="s">
        <v>538</v>
      </c>
      <c r="S716" s="41">
        <v>2</v>
      </c>
      <c r="T716" s="41">
        <v>2</v>
      </c>
      <c r="U716" s="42">
        <v>1231</v>
      </c>
      <c r="V716" s="41">
        <v>139.69</v>
      </c>
      <c r="W716" s="43">
        <v>30</v>
      </c>
      <c r="Y716" s="173" t="s">
        <v>539</v>
      </c>
    </row>
    <row r="717" spans="18:25">
      <c r="R717" s="41" t="s">
        <v>538</v>
      </c>
      <c r="S717" s="41">
        <v>2</v>
      </c>
      <c r="T717" s="41">
        <v>3</v>
      </c>
      <c r="U717" s="42">
        <v>1231</v>
      </c>
      <c r="V717" s="41">
        <v>140.16999999999999</v>
      </c>
      <c r="W717" s="43">
        <v>30</v>
      </c>
      <c r="Y717" s="173" t="s">
        <v>544</v>
      </c>
    </row>
    <row r="718" spans="18:25">
      <c r="R718" s="41" t="s">
        <v>538</v>
      </c>
      <c r="S718" s="41">
        <v>2</v>
      </c>
      <c r="T718" s="41">
        <v>4</v>
      </c>
      <c r="U718" s="42">
        <v>1231</v>
      </c>
      <c r="V718" s="41">
        <v>139.15</v>
      </c>
      <c r="W718" s="43">
        <v>30</v>
      </c>
      <c r="Y718" s="173" t="s">
        <v>549</v>
      </c>
    </row>
    <row r="719" spans="18:25">
      <c r="R719" s="41" t="s">
        <v>555</v>
      </c>
      <c r="S719" s="41">
        <v>2</v>
      </c>
      <c r="T719" s="41">
        <v>2</v>
      </c>
      <c r="U719" s="42">
        <v>1284</v>
      </c>
      <c r="V719" s="41">
        <v>139.69</v>
      </c>
      <c r="W719" s="43">
        <v>10</v>
      </c>
      <c r="Y719" s="173" t="s">
        <v>556</v>
      </c>
    </row>
    <row r="720" spans="18:25">
      <c r="R720" s="41" t="s">
        <v>555</v>
      </c>
      <c r="S720" s="41">
        <v>2</v>
      </c>
      <c r="T720" s="41">
        <v>3</v>
      </c>
      <c r="U720" s="42">
        <v>1284</v>
      </c>
      <c r="V720" s="41">
        <v>140.16999999999999</v>
      </c>
      <c r="W720" s="43">
        <v>10</v>
      </c>
      <c r="Y720" s="173" t="s">
        <v>561</v>
      </c>
    </row>
    <row r="721" spans="18:25">
      <c r="R721" s="41" t="s">
        <v>555</v>
      </c>
      <c r="S721" s="41">
        <v>2</v>
      </c>
      <c r="T721" s="41">
        <v>4</v>
      </c>
      <c r="U721" s="42">
        <v>1284</v>
      </c>
      <c r="V721" s="41">
        <v>139.15</v>
      </c>
      <c r="W721" s="43">
        <v>10</v>
      </c>
      <c r="Y721" s="173" t="s">
        <v>566</v>
      </c>
    </row>
    <row r="722" spans="18:25">
      <c r="R722" s="41" t="s">
        <v>570</v>
      </c>
      <c r="S722" s="41">
        <v>3</v>
      </c>
      <c r="T722" s="41">
        <v>2</v>
      </c>
      <c r="U722" s="42">
        <v>1477</v>
      </c>
      <c r="V722" s="41">
        <v>137.41999999999999</v>
      </c>
      <c r="W722" s="43">
        <v>40</v>
      </c>
      <c r="Y722" s="173" t="s">
        <v>571</v>
      </c>
    </row>
    <row r="723" spans="18:25">
      <c r="R723" s="41" t="s">
        <v>570</v>
      </c>
      <c r="S723" s="41">
        <v>3</v>
      </c>
      <c r="T723" s="41">
        <v>3</v>
      </c>
      <c r="U723" s="42">
        <v>1477</v>
      </c>
      <c r="V723" s="41">
        <v>139.79</v>
      </c>
      <c r="W723" s="43">
        <v>40</v>
      </c>
      <c r="Y723" s="173" t="s">
        <v>576</v>
      </c>
    </row>
    <row r="724" spans="18:25">
      <c r="R724" s="41" t="s">
        <v>570</v>
      </c>
      <c r="S724" s="41">
        <v>3</v>
      </c>
      <c r="T724" s="41">
        <v>4</v>
      </c>
      <c r="U724" s="42">
        <v>1477</v>
      </c>
      <c r="V724" s="41">
        <v>137.97</v>
      </c>
      <c r="W724" s="43">
        <v>40</v>
      </c>
      <c r="Y724" s="173" t="s">
        <v>580</v>
      </c>
    </row>
    <row r="725" spans="18:25">
      <c r="R725" s="41" t="s">
        <v>585</v>
      </c>
      <c r="S725" s="41">
        <v>6</v>
      </c>
      <c r="T725" s="41">
        <v>2</v>
      </c>
      <c r="U725" s="42">
        <v>1842</v>
      </c>
      <c r="V725" s="41">
        <v>135.41</v>
      </c>
      <c r="W725" s="43">
        <v>20</v>
      </c>
      <c r="Y725" s="173" t="s">
        <v>586</v>
      </c>
    </row>
    <row r="726" spans="18:25">
      <c r="R726" s="41" t="s">
        <v>585</v>
      </c>
      <c r="S726" s="41">
        <v>6</v>
      </c>
      <c r="T726" s="41">
        <v>3</v>
      </c>
      <c r="U726" s="42">
        <v>1842</v>
      </c>
      <c r="V726" s="157">
        <v>138.6</v>
      </c>
      <c r="W726" s="43">
        <v>20</v>
      </c>
      <c r="Y726" s="173" t="s">
        <v>589</v>
      </c>
    </row>
    <row r="727" spans="18:25">
      <c r="R727" s="41" t="s">
        <v>585</v>
      </c>
      <c r="S727" s="41">
        <v>6</v>
      </c>
      <c r="T727" s="41">
        <v>4</v>
      </c>
      <c r="U727" s="42">
        <v>1842</v>
      </c>
      <c r="V727" s="41">
        <v>135.63</v>
      </c>
      <c r="W727" s="43">
        <v>20</v>
      </c>
      <c r="Y727" s="173" t="s">
        <v>592</v>
      </c>
    </row>
    <row r="728" spans="18:25">
      <c r="R728" s="41" t="s">
        <v>595</v>
      </c>
      <c r="S728" s="41">
        <v>3</v>
      </c>
      <c r="T728" s="41">
        <v>2</v>
      </c>
      <c r="U728" s="42">
        <v>1396</v>
      </c>
      <c r="V728" s="41">
        <v>137.41999999999999</v>
      </c>
      <c r="W728" s="43">
        <v>30</v>
      </c>
      <c r="Y728" s="173" t="s">
        <v>596</v>
      </c>
    </row>
    <row r="729" spans="18:25">
      <c r="R729" s="41" t="s">
        <v>595</v>
      </c>
      <c r="S729" s="41">
        <v>3</v>
      </c>
      <c r="T729" s="41">
        <v>3</v>
      </c>
      <c r="U729" s="42">
        <v>1396</v>
      </c>
      <c r="V729" s="41">
        <v>139.79</v>
      </c>
      <c r="W729" s="43">
        <v>30</v>
      </c>
      <c r="Y729" s="173" t="s">
        <v>599</v>
      </c>
    </row>
    <row r="730" spans="18:25">
      <c r="R730" s="41" t="s">
        <v>595</v>
      </c>
      <c r="S730" s="41">
        <v>3</v>
      </c>
      <c r="T730" s="41">
        <v>4</v>
      </c>
      <c r="U730" s="42">
        <v>1396</v>
      </c>
      <c r="V730" s="41">
        <v>137.97</v>
      </c>
      <c r="W730" s="43">
        <v>30</v>
      </c>
      <c r="Y730" s="173" t="s">
        <v>603</v>
      </c>
    </row>
    <row r="731" spans="18:25">
      <c r="R731" s="41" t="s">
        <v>606</v>
      </c>
      <c r="S731" s="41">
        <v>5</v>
      </c>
      <c r="T731" s="41">
        <v>2</v>
      </c>
      <c r="U731" s="42">
        <v>1703</v>
      </c>
      <c r="V731" s="41">
        <v>135.41</v>
      </c>
      <c r="W731" s="43">
        <v>40</v>
      </c>
      <c r="Y731" s="173" t="s">
        <v>607</v>
      </c>
    </row>
    <row r="732" spans="18:25">
      <c r="R732" s="41" t="s">
        <v>606</v>
      </c>
      <c r="S732" s="41">
        <v>5</v>
      </c>
      <c r="T732" s="41">
        <v>3</v>
      </c>
      <c r="U732" s="42">
        <v>1703</v>
      </c>
      <c r="V732" s="157">
        <v>138.6</v>
      </c>
      <c r="W732" s="43">
        <v>40</v>
      </c>
      <c r="Y732" s="173" t="s">
        <v>610</v>
      </c>
    </row>
    <row r="733" spans="18:25">
      <c r="R733" s="41" t="s">
        <v>606</v>
      </c>
      <c r="S733" s="41">
        <v>5</v>
      </c>
      <c r="T733" s="41">
        <v>4</v>
      </c>
      <c r="U733" s="42">
        <v>1703</v>
      </c>
      <c r="V733" s="41">
        <v>135.63</v>
      </c>
      <c r="W733" s="43">
        <v>40</v>
      </c>
      <c r="Y733" s="173" t="s">
        <v>613</v>
      </c>
    </row>
    <row r="734" spans="18:25">
      <c r="R734" s="41" t="s">
        <v>616</v>
      </c>
      <c r="S734" s="41">
        <v>2</v>
      </c>
      <c r="T734" s="41">
        <v>2</v>
      </c>
      <c r="U734" s="42">
        <v>1144</v>
      </c>
      <c r="V734" s="41">
        <v>139.69</v>
      </c>
      <c r="W734" s="43">
        <v>10</v>
      </c>
      <c r="Y734" s="173" t="s">
        <v>617</v>
      </c>
    </row>
    <row r="735" spans="18:25">
      <c r="R735" s="41" t="s">
        <v>616</v>
      </c>
      <c r="S735" s="41">
        <v>2</v>
      </c>
      <c r="T735" s="41">
        <v>3</v>
      </c>
      <c r="U735" s="42">
        <v>1144</v>
      </c>
      <c r="V735" s="41">
        <v>140.16999999999999</v>
      </c>
      <c r="W735" s="43">
        <v>10</v>
      </c>
      <c r="Y735" s="173" t="s">
        <v>621</v>
      </c>
    </row>
    <row r="736" spans="18:25">
      <c r="R736" s="41" t="s">
        <v>616</v>
      </c>
      <c r="S736" s="41">
        <v>2</v>
      </c>
      <c r="T736" s="41">
        <v>4</v>
      </c>
      <c r="U736" s="42">
        <v>1144</v>
      </c>
      <c r="V736" s="41">
        <v>139.15</v>
      </c>
      <c r="W736" s="43">
        <v>10</v>
      </c>
      <c r="Y736" s="173" t="s">
        <v>624</v>
      </c>
    </row>
    <row r="737" spans="18:25">
      <c r="R737" s="41" t="s">
        <v>627</v>
      </c>
      <c r="S737" s="41">
        <v>4</v>
      </c>
      <c r="T737" s="41">
        <v>2</v>
      </c>
      <c r="U737" s="42">
        <v>1545</v>
      </c>
      <c r="V737" s="41">
        <v>135.41</v>
      </c>
      <c r="W737" s="43">
        <v>10</v>
      </c>
      <c r="Y737" s="173" t="s">
        <v>628</v>
      </c>
    </row>
    <row r="738" spans="18:25">
      <c r="R738" s="41" t="s">
        <v>627</v>
      </c>
      <c r="S738" s="41">
        <v>4</v>
      </c>
      <c r="T738" s="41">
        <v>3</v>
      </c>
      <c r="U738" s="42">
        <v>1545</v>
      </c>
      <c r="V738" s="157">
        <v>138.6</v>
      </c>
      <c r="W738" s="43">
        <v>10</v>
      </c>
      <c r="Y738" s="173" t="s">
        <v>631</v>
      </c>
    </row>
    <row r="739" spans="18:25">
      <c r="R739" s="41" t="s">
        <v>627</v>
      </c>
      <c r="S739" s="41">
        <v>4</v>
      </c>
      <c r="T739" s="41">
        <v>4</v>
      </c>
      <c r="U739" s="42">
        <v>1545</v>
      </c>
      <c r="V739" s="41">
        <v>135.63</v>
      </c>
      <c r="W739" s="43">
        <v>10</v>
      </c>
      <c r="Y739" s="173" t="s">
        <v>634</v>
      </c>
    </row>
    <row r="740" spans="18:25">
      <c r="R740" s="41" t="s">
        <v>636</v>
      </c>
      <c r="S740" s="41">
        <v>3</v>
      </c>
      <c r="T740" s="41">
        <v>2</v>
      </c>
      <c r="U740" s="42">
        <v>1400</v>
      </c>
      <c r="V740" s="41">
        <v>137.41999999999999</v>
      </c>
      <c r="W740" s="43">
        <v>30</v>
      </c>
      <c r="Y740" s="173" t="s">
        <v>637</v>
      </c>
    </row>
    <row r="741" spans="18:25">
      <c r="R741" s="41" t="s">
        <v>636</v>
      </c>
      <c r="S741" s="41">
        <v>3</v>
      </c>
      <c r="T741" s="41">
        <v>3</v>
      </c>
      <c r="U741" s="42">
        <v>1400</v>
      </c>
      <c r="V741" s="41">
        <v>139.79</v>
      </c>
      <c r="W741" s="43">
        <v>30</v>
      </c>
      <c r="Y741" s="173" t="s">
        <v>640</v>
      </c>
    </row>
    <row r="742" spans="18:25">
      <c r="R742" s="41" t="s">
        <v>636</v>
      </c>
      <c r="S742" s="41">
        <v>3</v>
      </c>
      <c r="T742" s="41">
        <v>4</v>
      </c>
      <c r="U742" s="42">
        <v>1400</v>
      </c>
      <c r="V742" s="41">
        <v>137.97</v>
      </c>
      <c r="W742" s="43">
        <v>30</v>
      </c>
      <c r="Y742" s="173" t="s">
        <v>642</v>
      </c>
    </row>
    <row r="743" spans="18:25">
      <c r="R743" s="41" t="s">
        <v>644</v>
      </c>
      <c r="S743" s="41">
        <v>2</v>
      </c>
      <c r="T743" s="41">
        <v>2</v>
      </c>
      <c r="U743" s="42">
        <v>1143</v>
      </c>
      <c r="V743" s="41">
        <v>139.69</v>
      </c>
      <c r="W743" s="43">
        <v>10</v>
      </c>
      <c r="Y743" s="173" t="s">
        <v>645</v>
      </c>
    </row>
    <row r="744" spans="18:25">
      <c r="R744" s="41" t="s">
        <v>644</v>
      </c>
      <c r="S744" s="41">
        <v>2</v>
      </c>
      <c r="T744" s="41">
        <v>3</v>
      </c>
      <c r="U744" s="42">
        <v>1143</v>
      </c>
      <c r="V744" s="41">
        <v>140.16999999999999</v>
      </c>
      <c r="W744" s="43">
        <v>10</v>
      </c>
      <c r="Y744" s="173" t="s">
        <v>648</v>
      </c>
    </row>
    <row r="745" spans="18:25">
      <c r="R745" s="41" t="s">
        <v>644</v>
      </c>
      <c r="S745" s="41">
        <v>2</v>
      </c>
      <c r="T745" s="41">
        <v>4</v>
      </c>
      <c r="U745" s="42">
        <v>1143</v>
      </c>
      <c r="V745" s="41">
        <v>139.15</v>
      </c>
      <c r="W745" s="43">
        <v>10</v>
      </c>
      <c r="Y745" s="173" t="s">
        <v>651</v>
      </c>
    </row>
    <row r="746" spans="18:25">
      <c r="R746" s="41" t="s">
        <v>654</v>
      </c>
      <c r="S746" s="41">
        <v>2</v>
      </c>
      <c r="T746" s="41">
        <v>2</v>
      </c>
      <c r="U746" s="42">
        <v>1320</v>
      </c>
      <c r="V746" s="41">
        <v>139.69</v>
      </c>
      <c r="W746" s="43">
        <v>35</v>
      </c>
      <c r="Y746" s="173" t="s">
        <v>655</v>
      </c>
    </row>
    <row r="747" spans="18:25">
      <c r="R747" s="41" t="s">
        <v>654</v>
      </c>
      <c r="S747" s="41">
        <v>2</v>
      </c>
      <c r="T747" s="41">
        <v>3</v>
      </c>
      <c r="U747" s="42">
        <v>1320</v>
      </c>
      <c r="V747" s="41">
        <v>140.16999999999999</v>
      </c>
      <c r="W747" s="43">
        <v>35</v>
      </c>
      <c r="Y747" s="173" t="s">
        <v>658</v>
      </c>
    </row>
    <row r="748" spans="18:25">
      <c r="R748" s="41" t="s">
        <v>654</v>
      </c>
      <c r="S748" s="41">
        <v>2</v>
      </c>
      <c r="T748" s="41">
        <v>4</v>
      </c>
      <c r="U748" s="42">
        <v>1320</v>
      </c>
      <c r="V748" s="41">
        <v>139.15</v>
      </c>
      <c r="W748" s="43">
        <v>35</v>
      </c>
      <c r="Y748" s="173" t="s">
        <v>661</v>
      </c>
    </row>
    <row r="749" spans="18:25">
      <c r="Y749" s="173"/>
    </row>
    <row r="750" spans="18:25">
      <c r="S750" s="52" t="s">
        <v>578</v>
      </c>
      <c r="Y750" s="173"/>
    </row>
    <row r="751" spans="18:25">
      <c r="R751" s="429" t="s">
        <v>490</v>
      </c>
      <c r="S751" s="430"/>
      <c r="T751" s="430"/>
      <c r="U751" s="430"/>
      <c r="V751" s="430"/>
      <c r="W751" s="431"/>
      <c r="Y751" s="171" t="s">
        <v>478</v>
      </c>
    </row>
    <row r="752" spans="18:25">
      <c r="R752" s="16" t="s">
        <v>497</v>
      </c>
      <c r="S752" s="16" t="s">
        <v>498</v>
      </c>
      <c r="T752" s="16" t="s">
        <v>483</v>
      </c>
      <c r="U752" s="16" t="s">
        <v>499</v>
      </c>
      <c r="V752" s="16" t="s">
        <v>500</v>
      </c>
      <c r="W752" s="17" t="s">
        <v>501</v>
      </c>
      <c r="Y752" s="172" t="s">
        <v>502</v>
      </c>
    </row>
    <row r="753" spans="18:25">
      <c r="R753" s="41" t="s">
        <v>508</v>
      </c>
      <c r="S753" s="41">
        <v>2</v>
      </c>
      <c r="T753" s="41">
        <v>2</v>
      </c>
      <c r="U753" s="42">
        <v>1356</v>
      </c>
      <c r="V753" s="41">
        <v>139.69</v>
      </c>
      <c r="W753" s="43">
        <v>40</v>
      </c>
      <c r="Y753" s="173" t="s">
        <v>509</v>
      </c>
    </row>
    <row r="754" spans="18:25">
      <c r="R754" s="41" t="s">
        <v>508</v>
      </c>
      <c r="S754" s="41">
        <v>2</v>
      </c>
      <c r="T754" s="41">
        <v>3</v>
      </c>
      <c r="U754" s="42">
        <v>1356</v>
      </c>
      <c r="V754" s="41">
        <v>140.16999999999999</v>
      </c>
      <c r="W754" s="43">
        <v>40</v>
      </c>
      <c r="Y754" s="173" t="s">
        <v>514</v>
      </c>
    </row>
    <row r="755" spans="18:25">
      <c r="R755" s="41" t="s">
        <v>508</v>
      </c>
      <c r="S755" s="41">
        <v>2</v>
      </c>
      <c r="T755" s="41">
        <v>4</v>
      </c>
      <c r="U755" s="42">
        <v>1356</v>
      </c>
      <c r="V755" s="41">
        <v>139.15</v>
      </c>
      <c r="W755" s="43">
        <v>40</v>
      </c>
      <c r="Y755" s="173" t="s">
        <v>518</v>
      </c>
    </row>
    <row r="756" spans="18:25">
      <c r="R756" s="41" t="s">
        <v>524</v>
      </c>
      <c r="S756" s="41">
        <v>4</v>
      </c>
      <c r="T756" s="41">
        <v>2</v>
      </c>
      <c r="U756" s="42">
        <v>1517</v>
      </c>
      <c r="V756" s="41">
        <v>135.41</v>
      </c>
      <c r="W756" s="43">
        <v>40</v>
      </c>
      <c r="Y756" s="173" t="s">
        <v>525</v>
      </c>
    </row>
    <row r="757" spans="18:25">
      <c r="R757" s="41" t="s">
        <v>524</v>
      </c>
      <c r="S757" s="41">
        <v>4</v>
      </c>
      <c r="T757" s="41">
        <v>3</v>
      </c>
      <c r="U757" s="42">
        <v>1517</v>
      </c>
      <c r="V757" s="157">
        <v>138.6</v>
      </c>
      <c r="W757" s="43">
        <v>40</v>
      </c>
      <c r="Y757" s="173" t="s">
        <v>529</v>
      </c>
    </row>
    <row r="758" spans="18:25">
      <c r="R758" s="41" t="s">
        <v>524</v>
      </c>
      <c r="S758" s="41">
        <v>4</v>
      </c>
      <c r="T758" s="41">
        <v>4</v>
      </c>
      <c r="U758" s="42">
        <v>1517</v>
      </c>
      <c r="V758" s="41">
        <v>135.63</v>
      </c>
      <c r="W758" s="43">
        <v>40</v>
      </c>
      <c r="Y758" s="173" t="s">
        <v>533</v>
      </c>
    </row>
    <row r="759" spans="18:25">
      <c r="R759" s="41" t="s">
        <v>538</v>
      </c>
      <c r="S759" s="41">
        <v>2</v>
      </c>
      <c r="T759" s="41">
        <v>2</v>
      </c>
      <c r="U759" s="42">
        <v>1231</v>
      </c>
      <c r="V759" s="41">
        <v>139.69</v>
      </c>
      <c r="W759" s="43">
        <v>30</v>
      </c>
      <c r="Y759" s="173" t="s">
        <v>539</v>
      </c>
    </row>
    <row r="760" spans="18:25">
      <c r="R760" s="41" t="s">
        <v>538</v>
      </c>
      <c r="S760" s="41">
        <v>2</v>
      </c>
      <c r="T760" s="41">
        <v>3</v>
      </c>
      <c r="U760" s="42">
        <v>1231</v>
      </c>
      <c r="V760" s="41">
        <v>140.16999999999999</v>
      </c>
      <c r="W760" s="43">
        <v>30</v>
      </c>
      <c r="Y760" s="173" t="s">
        <v>544</v>
      </c>
    </row>
    <row r="761" spans="18:25">
      <c r="R761" s="41" t="s">
        <v>538</v>
      </c>
      <c r="S761" s="41">
        <v>2</v>
      </c>
      <c r="T761" s="41">
        <v>4</v>
      </c>
      <c r="U761" s="42">
        <v>1231</v>
      </c>
      <c r="V761" s="41">
        <v>139.15</v>
      </c>
      <c r="W761" s="43">
        <v>30</v>
      </c>
      <c r="Y761" s="173" t="s">
        <v>549</v>
      </c>
    </row>
    <row r="762" spans="18:25">
      <c r="R762" s="41" t="s">
        <v>555</v>
      </c>
      <c r="S762" s="41">
        <v>2</v>
      </c>
      <c r="T762" s="41">
        <v>2</v>
      </c>
      <c r="U762" s="42">
        <v>1284</v>
      </c>
      <c r="V762" s="41">
        <v>139.69</v>
      </c>
      <c r="W762" s="43">
        <v>10</v>
      </c>
      <c r="Y762" s="173" t="s">
        <v>556</v>
      </c>
    </row>
    <row r="763" spans="18:25">
      <c r="R763" s="41" t="s">
        <v>555</v>
      </c>
      <c r="S763" s="41">
        <v>2</v>
      </c>
      <c r="T763" s="41">
        <v>3</v>
      </c>
      <c r="U763" s="42">
        <v>1284</v>
      </c>
      <c r="V763" s="41">
        <v>140.16999999999999</v>
      </c>
      <c r="W763" s="43">
        <v>10</v>
      </c>
      <c r="Y763" s="173" t="s">
        <v>561</v>
      </c>
    </row>
    <row r="764" spans="18:25">
      <c r="R764" s="41" t="s">
        <v>555</v>
      </c>
      <c r="S764" s="41">
        <v>2</v>
      </c>
      <c r="T764" s="41">
        <v>4</v>
      </c>
      <c r="U764" s="42">
        <v>1284</v>
      </c>
      <c r="V764" s="41">
        <v>139.15</v>
      </c>
      <c r="W764" s="43">
        <v>10</v>
      </c>
      <c r="Y764" s="173" t="s">
        <v>566</v>
      </c>
    </row>
    <row r="765" spans="18:25">
      <c r="R765" s="41" t="s">
        <v>570</v>
      </c>
      <c r="S765" s="41">
        <v>3</v>
      </c>
      <c r="T765" s="41">
        <v>2</v>
      </c>
      <c r="U765" s="42">
        <v>1477</v>
      </c>
      <c r="V765" s="41">
        <v>137.41999999999999</v>
      </c>
      <c r="W765" s="43">
        <v>40</v>
      </c>
      <c r="Y765" s="173" t="s">
        <v>571</v>
      </c>
    </row>
    <row r="766" spans="18:25">
      <c r="R766" s="41" t="s">
        <v>570</v>
      </c>
      <c r="S766" s="41">
        <v>3</v>
      </c>
      <c r="T766" s="41">
        <v>3</v>
      </c>
      <c r="U766" s="42">
        <v>1477</v>
      </c>
      <c r="V766" s="41">
        <v>139.79</v>
      </c>
      <c r="W766" s="43">
        <v>40</v>
      </c>
      <c r="Y766" s="173" t="s">
        <v>576</v>
      </c>
    </row>
    <row r="767" spans="18:25">
      <c r="R767" s="41" t="s">
        <v>570</v>
      </c>
      <c r="S767" s="41">
        <v>3</v>
      </c>
      <c r="T767" s="41">
        <v>4</v>
      </c>
      <c r="U767" s="42">
        <v>1477</v>
      </c>
      <c r="V767" s="41">
        <v>137.97</v>
      </c>
      <c r="W767" s="43">
        <v>40</v>
      </c>
      <c r="Y767" s="173" t="s">
        <v>580</v>
      </c>
    </row>
    <row r="768" spans="18:25">
      <c r="R768" s="41" t="s">
        <v>585</v>
      </c>
      <c r="S768" s="41">
        <v>6</v>
      </c>
      <c r="T768" s="41">
        <v>2</v>
      </c>
      <c r="U768" s="42">
        <v>1842</v>
      </c>
      <c r="V768" s="41">
        <v>135.41</v>
      </c>
      <c r="W768" s="43">
        <v>20</v>
      </c>
      <c r="Y768" s="173" t="s">
        <v>586</v>
      </c>
    </row>
    <row r="769" spans="18:25">
      <c r="R769" s="41" t="s">
        <v>585</v>
      </c>
      <c r="S769" s="41">
        <v>6</v>
      </c>
      <c r="T769" s="41">
        <v>3</v>
      </c>
      <c r="U769" s="42">
        <v>1842</v>
      </c>
      <c r="V769" s="157">
        <v>138.6</v>
      </c>
      <c r="W769" s="43">
        <v>20</v>
      </c>
      <c r="Y769" s="173" t="s">
        <v>589</v>
      </c>
    </row>
    <row r="770" spans="18:25">
      <c r="R770" s="41" t="s">
        <v>585</v>
      </c>
      <c r="S770" s="41">
        <v>6</v>
      </c>
      <c r="T770" s="41">
        <v>4</v>
      </c>
      <c r="U770" s="42">
        <v>1842</v>
      </c>
      <c r="V770" s="41">
        <v>135.63</v>
      </c>
      <c r="W770" s="43">
        <v>20</v>
      </c>
      <c r="Y770" s="173" t="s">
        <v>592</v>
      </c>
    </row>
    <row r="771" spans="18:25">
      <c r="R771" s="41" t="s">
        <v>595</v>
      </c>
      <c r="S771" s="41">
        <v>3</v>
      </c>
      <c r="T771" s="41">
        <v>2</v>
      </c>
      <c r="U771" s="42">
        <v>1396</v>
      </c>
      <c r="V771" s="41">
        <v>137.41999999999999</v>
      </c>
      <c r="W771" s="43">
        <v>30</v>
      </c>
      <c r="Y771" s="173" t="s">
        <v>596</v>
      </c>
    </row>
    <row r="772" spans="18:25">
      <c r="R772" s="41" t="s">
        <v>595</v>
      </c>
      <c r="S772" s="41">
        <v>3</v>
      </c>
      <c r="T772" s="41">
        <v>3</v>
      </c>
      <c r="U772" s="42">
        <v>1396</v>
      </c>
      <c r="V772" s="41">
        <v>139.79</v>
      </c>
      <c r="W772" s="43">
        <v>30</v>
      </c>
      <c r="Y772" s="173" t="s">
        <v>599</v>
      </c>
    </row>
    <row r="773" spans="18:25">
      <c r="R773" s="41" t="s">
        <v>595</v>
      </c>
      <c r="S773" s="41">
        <v>3</v>
      </c>
      <c r="T773" s="41">
        <v>4</v>
      </c>
      <c r="U773" s="42">
        <v>1396</v>
      </c>
      <c r="V773" s="41">
        <v>137.97</v>
      </c>
      <c r="W773" s="43">
        <v>30</v>
      </c>
      <c r="Y773" s="173" t="s">
        <v>603</v>
      </c>
    </row>
    <row r="774" spans="18:25">
      <c r="R774" s="41" t="s">
        <v>606</v>
      </c>
      <c r="S774" s="41">
        <v>5</v>
      </c>
      <c r="T774" s="41">
        <v>2</v>
      </c>
      <c r="U774" s="42">
        <v>1703</v>
      </c>
      <c r="V774" s="41">
        <v>135.41</v>
      </c>
      <c r="W774" s="43">
        <v>40</v>
      </c>
      <c r="Y774" s="173" t="s">
        <v>607</v>
      </c>
    </row>
    <row r="775" spans="18:25">
      <c r="R775" s="41" t="s">
        <v>606</v>
      </c>
      <c r="S775" s="41">
        <v>5</v>
      </c>
      <c r="T775" s="41">
        <v>3</v>
      </c>
      <c r="U775" s="42">
        <v>1703</v>
      </c>
      <c r="V775" s="157">
        <v>138.6</v>
      </c>
      <c r="W775" s="43">
        <v>40</v>
      </c>
      <c r="Y775" s="173" t="s">
        <v>610</v>
      </c>
    </row>
    <row r="776" spans="18:25">
      <c r="R776" s="41" t="s">
        <v>606</v>
      </c>
      <c r="S776" s="41">
        <v>5</v>
      </c>
      <c r="T776" s="41">
        <v>4</v>
      </c>
      <c r="U776" s="42">
        <v>1703</v>
      </c>
      <c r="V776" s="41">
        <v>135.63</v>
      </c>
      <c r="W776" s="43">
        <v>40</v>
      </c>
      <c r="Y776" s="173" t="s">
        <v>613</v>
      </c>
    </row>
    <row r="777" spans="18:25">
      <c r="R777" s="41" t="s">
        <v>616</v>
      </c>
      <c r="S777" s="41">
        <v>2</v>
      </c>
      <c r="T777" s="41">
        <v>2</v>
      </c>
      <c r="U777" s="42">
        <v>1144</v>
      </c>
      <c r="V777" s="41">
        <v>139.69</v>
      </c>
      <c r="W777" s="43">
        <v>10</v>
      </c>
      <c r="Y777" s="173" t="s">
        <v>617</v>
      </c>
    </row>
    <row r="778" spans="18:25">
      <c r="R778" s="41" t="s">
        <v>616</v>
      </c>
      <c r="S778" s="41">
        <v>2</v>
      </c>
      <c r="T778" s="41">
        <v>3</v>
      </c>
      <c r="U778" s="42">
        <v>1144</v>
      </c>
      <c r="V778" s="41">
        <v>140.16999999999999</v>
      </c>
      <c r="W778" s="43">
        <v>10</v>
      </c>
      <c r="Y778" s="173" t="s">
        <v>621</v>
      </c>
    </row>
    <row r="779" spans="18:25">
      <c r="R779" s="41" t="s">
        <v>616</v>
      </c>
      <c r="S779" s="41">
        <v>2</v>
      </c>
      <c r="T779" s="41">
        <v>4</v>
      </c>
      <c r="U779" s="42">
        <v>1144</v>
      </c>
      <c r="V779" s="41">
        <v>139.15</v>
      </c>
      <c r="W779" s="43">
        <v>10</v>
      </c>
      <c r="Y779" s="173" t="s">
        <v>624</v>
      </c>
    </row>
    <row r="780" spans="18:25">
      <c r="R780" s="41" t="s">
        <v>627</v>
      </c>
      <c r="S780" s="41">
        <v>4</v>
      </c>
      <c r="T780" s="41">
        <v>2</v>
      </c>
      <c r="U780" s="42">
        <v>1545</v>
      </c>
      <c r="V780" s="41">
        <v>135.41</v>
      </c>
      <c r="W780" s="43">
        <v>10</v>
      </c>
      <c r="Y780" s="173" t="s">
        <v>628</v>
      </c>
    </row>
    <row r="781" spans="18:25">
      <c r="R781" s="41" t="s">
        <v>627</v>
      </c>
      <c r="S781" s="41">
        <v>4</v>
      </c>
      <c r="T781" s="41">
        <v>3</v>
      </c>
      <c r="U781" s="42">
        <v>1545</v>
      </c>
      <c r="V781" s="157">
        <v>138.6</v>
      </c>
      <c r="W781" s="43">
        <v>10</v>
      </c>
      <c r="Y781" s="173" t="s">
        <v>631</v>
      </c>
    </row>
    <row r="782" spans="18:25">
      <c r="R782" s="41" t="s">
        <v>627</v>
      </c>
      <c r="S782" s="41">
        <v>4</v>
      </c>
      <c r="T782" s="41">
        <v>4</v>
      </c>
      <c r="U782" s="42">
        <v>1545</v>
      </c>
      <c r="V782" s="41">
        <v>135.63</v>
      </c>
      <c r="W782" s="43">
        <v>10</v>
      </c>
      <c r="Y782" s="173" t="s">
        <v>634</v>
      </c>
    </row>
    <row r="783" spans="18:25">
      <c r="R783" s="41" t="s">
        <v>636</v>
      </c>
      <c r="S783" s="41">
        <v>3</v>
      </c>
      <c r="T783" s="41">
        <v>2</v>
      </c>
      <c r="U783" s="42">
        <v>1400</v>
      </c>
      <c r="V783" s="41">
        <v>137.41999999999999</v>
      </c>
      <c r="W783" s="43">
        <v>30</v>
      </c>
      <c r="Y783" s="173" t="s">
        <v>637</v>
      </c>
    </row>
    <row r="784" spans="18:25">
      <c r="R784" s="41" t="s">
        <v>636</v>
      </c>
      <c r="S784" s="41">
        <v>3</v>
      </c>
      <c r="T784" s="41">
        <v>3</v>
      </c>
      <c r="U784" s="42">
        <v>1400</v>
      </c>
      <c r="V784" s="41">
        <v>139.79</v>
      </c>
      <c r="W784" s="43">
        <v>30</v>
      </c>
      <c r="Y784" s="173" t="s">
        <v>640</v>
      </c>
    </row>
    <row r="785" spans="18:25">
      <c r="R785" s="41" t="s">
        <v>636</v>
      </c>
      <c r="S785" s="41">
        <v>3</v>
      </c>
      <c r="T785" s="41">
        <v>4</v>
      </c>
      <c r="U785" s="42">
        <v>1400</v>
      </c>
      <c r="V785" s="41">
        <v>137.97</v>
      </c>
      <c r="W785" s="43">
        <v>30</v>
      </c>
      <c r="Y785" s="173" t="s">
        <v>642</v>
      </c>
    </row>
    <row r="786" spans="18:25">
      <c r="R786" s="41" t="s">
        <v>644</v>
      </c>
      <c r="S786" s="41">
        <v>2</v>
      </c>
      <c r="T786" s="41">
        <v>2</v>
      </c>
      <c r="U786" s="42">
        <v>1143</v>
      </c>
      <c r="V786" s="41">
        <v>139.69</v>
      </c>
      <c r="W786" s="43">
        <v>10</v>
      </c>
      <c r="Y786" s="173" t="s">
        <v>645</v>
      </c>
    </row>
    <row r="787" spans="18:25">
      <c r="R787" s="41" t="s">
        <v>644</v>
      </c>
      <c r="S787" s="41">
        <v>2</v>
      </c>
      <c r="T787" s="41">
        <v>3</v>
      </c>
      <c r="U787" s="42">
        <v>1143</v>
      </c>
      <c r="V787" s="41">
        <v>140.16999999999999</v>
      </c>
      <c r="W787" s="43">
        <v>10</v>
      </c>
      <c r="Y787" s="173" t="s">
        <v>648</v>
      </c>
    </row>
    <row r="788" spans="18:25">
      <c r="R788" s="41" t="s">
        <v>644</v>
      </c>
      <c r="S788" s="41">
        <v>2</v>
      </c>
      <c r="T788" s="41">
        <v>4</v>
      </c>
      <c r="U788" s="42">
        <v>1143</v>
      </c>
      <c r="V788" s="41">
        <v>139.15</v>
      </c>
      <c r="W788" s="43">
        <v>10</v>
      </c>
      <c r="Y788" s="173" t="s">
        <v>651</v>
      </c>
    </row>
    <row r="789" spans="18:25">
      <c r="R789" s="41" t="s">
        <v>654</v>
      </c>
      <c r="S789" s="41">
        <v>2</v>
      </c>
      <c r="T789" s="41">
        <v>2</v>
      </c>
      <c r="U789" s="42">
        <v>1320</v>
      </c>
      <c r="V789" s="41">
        <v>139.69</v>
      </c>
      <c r="W789" s="43">
        <v>35</v>
      </c>
      <c r="Y789" s="173" t="s">
        <v>655</v>
      </c>
    </row>
    <row r="790" spans="18:25">
      <c r="R790" s="41" t="s">
        <v>654</v>
      </c>
      <c r="S790" s="41">
        <v>2</v>
      </c>
      <c r="T790" s="41">
        <v>3</v>
      </c>
      <c r="U790" s="42">
        <v>1320</v>
      </c>
      <c r="V790" s="41">
        <v>140.16999999999999</v>
      </c>
      <c r="W790" s="43">
        <v>35</v>
      </c>
      <c r="Y790" s="173" t="s">
        <v>658</v>
      </c>
    </row>
    <row r="791" spans="18:25">
      <c r="R791" s="41" t="s">
        <v>654</v>
      </c>
      <c r="S791" s="41">
        <v>2</v>
      </c>
      <c r="T791" s="41">
        <v>4</v>
      </c>
      <c r="U791" s="42">
        <v>1320</v>
      </c>
      <c r="V791" s="41">
        <v>139.15</v>
      </c>
      <c r="W791" s="43">
        <v>35</v>
      </c>
      <c r="Y791" s="173" t="s">
        <v>661</v>
      </c>
    </row>
    <row r="792" spans="18:25">
      <c r="Y792" s="173"/>
    </row>
    <row r="793" spans="18:25">
      <c r="S793" s="52" t="s">
        <v>582</v>
      </c>
      <c r="Y793" s="173"/>
    </row>
    <row r="794" spans="18:25">
      <c r="R794" s="429" t="s">
        <v>490</v>
      </c>
      <c r="S794" s="430"/>
      <c r="T794" s="430"/>
      <c r="U794" s="430"/>
      <c r="V794" s="430"/>
      <c r="W794" s="431"/>
      <c r="Y794" s="171" t="s">
        <v>478</v>
      </c>
    </row>
    <row r="795" spans="18:25">
      <c r="R795" s="16" t="s">
        <v>497</v>
      </c>
      <c r="S795" s="16" t="s">
        <v>498</v>
      </c>
      <c r="T795" s="16" t="s">
        <v>483</v>
      </c>
      <c r="U795" s="16" t="s">
        <v>499</v>
      </c>
      <c r="V795" s="16" t="s">
        <v>500</v>
      </c>
      <c r="W795" s="17" t="s">
        <v>501</v>
      </c>
      <c r="Y795" s="172" t="s">
        <v>502</v>
      </c>
    </row>
    <row r="796" spans="18:25">
      <c r="R796" s="41" t="s">
        <v>508</v>
      </c>
      <c r="S796" s="41">
        <v>2</v>
      </c>
      <c r="T796" s="41">
        <v>2</v>
      </c>
      <c r="U796" s="42">
        <v>1356</v>
      </c>
      <c r="V796" s="41">
        <v>139.69</v>
      </c>
      <c r="W796" s="43">
        <v>40</v>
      </c>
      <c r="Y796" s="173" t="s">
        <v>509</v>
      </c>
    </row>
    <row r="797" spans="18:25">
      <c r="R797" s="41" t="s">
        <v>508</v>
      </c>
      <c r="S797" s="41">
        <v>2</v>
      </c>
      <c r="T797" s="41">
        <v>3</v>
      </c>
      <c r="U797" s="42">
        <v>1356</v>
      </c>
      <c r="V797" s="41">
        <v>140.16999999999999</v>
      </c>
      <c r="W797" s="43">
        <v>40</v>
      </c>
      <c r="Y797" s="173" t="s">
        <v>514</v>
      </c>
    </row>
    <row r="798" spans="18:25">
      <c r="R798" s="41" t="s">
        <v>508</v>
      </c>
      <c r="S798" s="41">
        <v>2</v>
      </c>
      <c r="T798" s="41">
        <v>4</v>
      </c>
      <c r="U798" s="42">
        <v>1356</v>
      </c>
      <c r="V798" s="41">
        <v>139.15</v>
      </c>
      <c r="W798" s="43">
        <v>40</v>
      </c>
      <c r="Y798" s="173" t="s">
        <v>518</v>
      </c>
    </row>
    <row r="799" spans="18:25">
      <c r="R799" s="41" t="s">
        <v>524</v>
      </c>
      <c r="S799" s="41">
        <v>4</v>
      </c>
      <c r="T799" s="41">
        <v>2</v>
      </c>
      <c r="U799" s="42">
        <v>1517</v>
      </c>
      <c r="V799" s="41">
        <v>135.41</v>
      </c>
      <c r="W799" s="43">
        <v>40</v>
      </c>
      <c r="Y799" s="173" t="s">
        <v>525</v>
      </c>
    </row>
    <row r="800" spans="18:25">
      <c r="R800" s="41" t="s">
        <v>524</v>
      </c>
      <c r="S800" s="41">
        <v>4</v>
      </c>
      <c r="T800" s="41">
        <v>3</v>
      </c>
      <c r="U800" s="42">
        <v>1517</v>
      </c>
      <c r="V800" s="157">
        <v>138.6</v>
      </c>
      <c r="W800" s="43">
        <v>40</v>
      </c>
      <c r="Y800" s="173" t="s">
        <v>529</v>
      </c>
    </row>
    <row r="801" spans="18:25">
      <c r="R801" s="41" t="s">
        <v>524</v>
      </c>
      <c r="S801" s="41">
        <v>4</v>
      </c>
      <c r="T801" s="41">
        <v>4</v>
      </c>
      <c r="U801" s="42">
        <v>1517</v>
      </c>
      <c r="V801" s="41">
        <v>135.63</v>
      </c>
      <c r="W801" s="43">
        <v>40</v>
      </c>
      <c r="Y801" s="173" t="s">
        <v>533</v>
      </c>
    </row>
    <row r="802" spans="18:25">
      <c r="R802" s="41" t="s">
        <v>538</v>
      </c>
      <c r="S802" s="41">
        <v>2</v>
      </c>
      <c r="T802" s="41">
        <v>2</v>
      </c>
      <c r="U802" s="42">
        <v>1231</v>
      </c>
      <c r="V802" s="41">
        <v>139.69</v>
      </c>
      <c r="W802" s="43">
        <v>30</v>
      </c>
      <c r="Y802" s="173" t="s">
        <v>539</v>
      </c>
    </row>
    <row r="803" spans="18:25">
      <c r="R803" s="41" t="s">
        <v>538</v>
      </c>
      <c r="S803" s="41">
        <v>2</v>
      </c>
      <c r="T803" s="41">
        <v>3</v>
      </c>
      <c r="U803" s="42">
        <v>1231</v>
      </c>
      <c r="V803" s="41">
        <v>140.16999999999999</v>
      </c>
      <c r="W803" s="43">
        <v>30</v>
      </c>
      <c r="Y803" s="173" t="s">
        <v>544</v>
      </c>
    </row>
    <row r="804" spans="18:25">
      <c r="R804" s="41" t="s">
        <v>538</v>
      </c>
      <c r="S804" s="41">
        <v>2</v>
      </c>
      <c r="T804" s="41">
        <v>4</v>
      </c>
      <c r="U804" s="42">
        <v>1231</v>
      </c>
      <c r="V804" s="41">
        <v>139.15</v>
      </c>
      <c r="W804" s="43">
        <v>30</v>
      </c>
      <c r="Y804" s="173" t="s">
        <v>549</v>
      </c>
    </row>
    <row r="805" spans="18:25">
      <c r="R805" s="41" t="s">
        <v>555</v>
      </c>
      <c r="S805" s="41">
        <v>2</v>
      </c>
      <c r="T805" s="41">
        <v>2</v>
      </c>
      <c r="U805" s="42">
        <v>1284</v>
      </c>
      <c r="V805" s="41">
        <v>139.69</v>
      </c>
      <c r="W805" s="43">
        <v>10</v>
      </c>
      <c r="Y805" s="173" t="s">
        <v>556</v>
      </c>
    </row>
    <row r="806" spans="18:25">
      <c r="R806" s="41" t="s">
        <v>555</v>
      </c>
      <c r="S806" s="41">
        <v>2</v>
      </c>
      <c r="T806" s="41">
        <v>3</v>
      </c>
      <c r="U806" s="42">
        <v>1284</v>
      </c>
      <c r="V806" s="41">
        <v>140.16999999999999</v>
      </c>
      <c r="W806" s="43">
        <v>10</v>
      </c>
      <c r="Y806" s="173" t="s">
        <v>561</v>
      </c>
    </row>
    <row r="807" spans="18:25">
      <c r="R807" s="41" t="s">
        <v>555</v>
      </c>
      <c r="S807" s="41">
        <v>2</v>
      </c>
      <c r="T807" s="41">
        <v>4</v>
      </c>
      <c r="U807" s="42">
        <v>1284</v>
      </c>
      <c r="V807" s="41">
        <v>139.15</v>
      </c>
      <c r="W807" s="43">
        <v>10</v>
      </c>
      <c r="Y807" s="173" t="s">
        <v>566</v>
      </c>
    </row>
    <row r="808" spans="18:25">
      <c r="R808" s="41" t="s">
        <v>570</v>
      </c>
      <c r="S808" s="41">
        <v>3</v>
      </c>
      <c r="T808" s="41">
        <v>2</v>
      </c>
      <c r="U808" s="42">
        <v>1477</v>
      </c>
      <c r="V808" s="41">
        <v>137.41999999999999</v>
      </c>
      <c r="W808" s="43">
        <v>40</v>
      </c>
      <c r="Y808" s="173" t="s">
        <v>571</v>
      </c>
    </row>
    <row r="809" spans="18:25">
      <c r="R809" s="41" t="s">
        <v>570</v>
      </c>
      <c r="S809" s="41">
        <v>3</v>
      </c>
      <c r="T809" s="41">
        <v>3</v>
      </c>
      <c r="U809" s="42">
        <v>1477</v>
      </c>
      <c r="V809" s="41">
        <v>139.79</v>
      </c>
      <c r="W809" s="43">
        <v>40</v>
      </c>
      <c r="Y809" s="173" t="s">
        <v>576</v>
      </c>
    </row>
    <row r="810" spans="18:25">
      <c r="R810" s="41" t="s">
        <v>570</v>
      </c>
      <c r="S810" s="41">
        <v>3</v>
      </c>
      <c r="T810" s="41">
        <v>4</v>
      </c>
      <c r="U810" s="42">
        <v>1477</v>
      </c>
      <c r="V810" s="41">
        <v>137.97</v>
      </c>
      <c r="W810" s="43">
        <v>40</v>
      </c>
      <c r="Y810" s="173" t="s">
        <v>580</v>
      </c>
    </row>
    <row r="811" spans="18:25">
      <c r="R811" s="41" t="s">
        <v>585</v>
      </c>
      <c r="S811" s="41">
        <v>6</v>
      </c>
      <c r="T811" s="41">
        <v>2</v>
      </c>
      <c r="U811" s="42">
        <v>1842</v>
      </c>
      <c r="V811" s="41">
        <v>135.41</v>
      </c>
      <c r="W811" s="43">
        <v>20</v>
      </c>
      <c r="Y811" s="173" t="s">
        <v>586</v>
      </c>
    </row>
    <row r="812" spans="18:25">
      <c r="R812" s="41" t="s">
        <v>585</v>
      </c>
      <c r="S812" s="41">
        <v>6</v>
      </c>
      <c r="T812" s="41">
        <v>3</v>
      </c>
      <c r="U812" s="42">
        <v>1842</v>
      </c>
      <c r="V812" s="157">
        <v>138.6</v>
      </c>
      <c r="W812" s="43">
        <v>20</v>
      </c>
      <c r="Y812" s="173" t="s">
        <v>589</v>
      </c>
    </row>
    <row r="813" spans="18:25">
      <c r="R813" s="41" t="s">
        <v>585</v>
      </c>
      <c r="S813" s="41">
        <v>6</v>
      </c>
      <c r="T813" s="41">
        <v>4</v>
      </c>
      <c r="U813" s="42">
        <v>1842</v>
      </c>
      <c r="V813" s="41">
        <v>135.63</v>
      </c>
      <c r="W813" s="43">
        <v>20</v>
      </c>
      <c r="Y813" s="173" t="s">
        <v>592</v>
      </c>
    </row>
    <row r="814" spans="18:25">
      <c r="R814" s="41" t="s">
        <v>595</v>
      </c>
      <c r="S814" s="41">
        <v>3</v>
      </c>
      <c r="T814" s="41">
        <v>2</v>
      </c>
      <c r="U814" s="42">
        <v>1396</v>
      </c>
      <c r="V814" s="41">
        <v>137.41999999999999</v>
      </c>
      <c r="W814" s="43">
        <v>30</v>
      </c>
      <c r="Y814" s="173" t="s">
        <v>596</v>
      </c>
    </row>
    <row r="815" spans="18:25">
      <c r="R815" s="41" t="s">
        <v>595</v>
      </c>
      <c r="S815" s="41">
        <v>3</v>
      </c>
      <c r="T815" s="41">
        <v>3</v>
      </c>
      <c r="U815" s="42">
        <v>1396</v>
      </c>
      <c r="V815" s="41">
        <v>139.79</v>
      </c>
      <c r="W815" s="43">
        <v>30</v>
      </c>
      <c r="Y815" s="173" t="s">
        <v>599</v>
      </c>
    </row>
    <row r="816" spans="18:25">
      <c r="R816" s="41" t="s">
        <v>595</v>
      </c>
      <c r="S816" s="41">
        <v>3</v>
      </c>
      <c r="T816" s="41">
        <v>4</v>
      </c>
      <c r="U816" s="42">
        <v>1396</v>
      </c>
      <c r="V816" s="41">
        <v>137.97</v>
      </c>
      <c r="W816" s="43">
        <v>30</v>
      </c>
      <c r="Y816" s="173" t="s">
        <v>603</v>
      </c>
    </row>
    <row r="817" spans="18:25">
      <c r="R817" s="41" t="s">
        <v>606</v>
      </c>
      <c r="S817" s="41">
        <v>5</v>
      </c>
      <c r="T817" s="41">
        <v>2</v>
      </c>
      <c r="U817" s="42">
        <v>1703</v>
      </c>
      <c r="V817" s="41">
        <v>135.41</v>
      </c>
      <c r="W817" s="43">
        <v>40</v>
      </c>
      <c r="Y817" s="173" t="s">
        <v>607</v>
      </c>
    </row>
    <row r="818" spans="18:25">
      <c r="R818" s="41" t="s">
        <v>606</v>
      </c>
      <c r="S818" s="41">
        <v>5</v>
      </c>
      <c r="T818" s="41">
        <v>3</v>
      </c>
      <c r="U818" s="42">
        <v>1703</v>
      </c>
      <c r="V818" s="157">
        <v>138.6</v>
      </c>
      <c r="W818" s="43">
        <v>40</v>
      </c>
      <c r="Y818" s="173" t="s">
        <v>610</v>
      </c>
    </row>
    <row r="819" spans="18:25">
      <c r="R819" s="41" t="s">
        <v>606</v>
      </c>
      <c r="S819" s="41">
        <v>5</v>
      </c>
      <c r="T819" s="41">
        <v>4</v>
      </c>
      <c r="U819" s="42">
        <v>1703</v>
      </c>
      <c r="V819" s="41">
        <v>135.63</v>
      </c>
      <c r="W819" s="43">
        <v>40</v>
      </c>
      <c r="Y819" s="173" t="s">
        <v>613</v>
      </c>
    </row>
    <row r="820" spans="18:25">
      <c r="R820" s="41" t="s">
        <v>616</v>
      </c>
      <c r="S820" s="41">
        <v>2</v>
      </c>
      <c r="T820" s="41">
        <v>2</v>
      </c>
      <c r="U820" s="42">
        <v>1144</v>
      </c>
      <c r="V820" s="41">
        <v>139.69</v>
      </c>
      <c r="W820" s="43">
        <v>10</v>
      </c>
      <c r="Y820" s="173" t="s">
        <v>617</v>
      </c>
    </row>
    <row r="821" spans="18:25">
      <c r="R821" s="41" t="s">
        <v>616</v>
      </c>
      <c r="S821" s="41">
        <v>2</v>
      </c>
      <c r="T821" s="41">
        <v>3</v>
      </c>
      <c r="U821" s="42">
        <v>1144</v>
      </c>
      <c r="V821" s="41">
        <v>140.16999999999999</v>
      </c>
      <c r="W821" s="43">
        <v>10</v>
      </c>
      <c r="Y821" s="173" t="s">
        <v>621</v>
      </c>
    </row>
    <row r="822" spans="18:25">
      <c r="R822" s="41" t="s">
        <v>616</v>
      </c>
      <c r="S822" s="41">
        <v>2</v>
      </c>
      <c r="T822" s="41">
        <v>4</v>
      </c>
      <c r="U822" s="42">
        <v>1144</v>
      </c>
      <c r="V822" s="41">
        <v>139.15</v>
      </c>
      <c r="W822" s="43">
        <v>10</v>
      </c>
      <c r="Y822" s="173" t="s">
        <v>624</v>
      </c>
    </row>
    <row r="823" spans="18:25">
      <c r="R823" s="41" t="s">
        <v>627</v>
      </c>
      <c r="S823" s="41">
        <v>4</v>
      </c>
      <c r="T823" s="41">
        <v>2</v>
      </c>
      <c r="U823" s="42">
        <v>1545</v>
      </c>
      <c r="V823" s="41">
        <v>135.41</v>
      </c>
      <c r="W823" s="43">
        <v>10</v>
      </c>
      <c r="Y823" s="173" t="s">
        <v>628</v>
      </c>
    </row>
    <row r="824" spans="18:25">
      <c r="R824" s="41" t="s">
        <v>627</v>
      </c>
      <c r="S824" s="41">
        <v>4</v>
      </c>
      <c r="T824" s="41">
        <v>3</v>
      </c>
      <c r="U824" s="42">
        <v>1545</v>
      </c>
      <c r="V824" s="157">
        <v>138.6</v>
      </c>
      <c r="W824" s="43">
        <v>10</v>
      </c>
      <c r="Y824" s="173" t="s">
        <v>631</v>
      </c>
    </row>
    <row r="825" spans="18:25">
      <c r="R825" s="41" t="s">
        <v>627</v>
      </c>
      <c r="S825" s="41">
        <v>4</v>
      </c>
      <c r="T825" s="41">
        <v>4</v>
      </c>
      <c r="U825" s="42">
        <v>1545</v>
      </c>
      <c r="V825" s="41">
        <v>135.63</v>
      </c>
      <c r="W825" s="43">
        <v>10</v>
      </c>
      <c r="Y825" s="173" t="s">
        <v>634</v>
      </c>
    </row>
    <row r="826" spans="18:25">
      <c r="R826" s="41" t="s">
        <v>636</v>
      </c>
      <c r="S826" s="41">
        <v>3</v>
      </c>
      <c r="T826" s="41">
        <v>2</v>
      </c>
      <c r="U826" s="42">
        <v>1400</v>
      </c>
      <c r="V826" s="41">
        <v>137.41999999999999</v>
      </c>
      <c r="W826" s="43">
        <v>30</v>
      </c>
      <c r="Y826" s="173" t="s">
        <v>637</v>
      </c>
    </row>
    <row r="827" spans="18:25">
      <c r="R827" s="41" t="s">
        <v>636</v>
      </c>
      <c r="S827" s="41">
        <v>3</v>
      </c>
      <c r="T827" s="41">
        <v>3</v>
      </c>
      <c r="U827" s="42">
        <v>1400</v>
      </c>
      <c r="V827" s="41">
        <v>139.79</v>
      </c>
      <c r="W827" s="43">
        <v>30</v>
      </c>
      <c r="Y827" s="173" t="s">
        <v>640</v>
      </c>
    </row>
    <row r="828" spans="18:25">
      <c r="R828" s="41" t="s">
        <v>636</v>
      </c>
      <c r="S828" s="41">
        <v>3</v>
      </c>
      <c r="T828" s="41">
        <v>4</v>
      </c>
      <c r="U828" s="42">
        <v>1400</v>
      </c>
      <c r="V828" s="41">
        <v>137.97</v>
      </c>
      <c r="W828" s="43">
        <v>30</v>
      </c>
      <c r="Y828" s="173" t="s">
        <v>642</v>
      </c>
    </row>
    <row r="829" spans="18:25">
      <c r="R829" s="41" t="s">
        <v>644</v>
      </c>
      <c r="S829" s="41">
        <v>2</v>
      </c>
      <c r="T829" s="41">
        <v>2</v>
      </c>
      <c r="U829" s="42">
        <v>1143</v>
      </c>
      <c r="V829" s="41">
        <v>139.69</v>
      </c>
      <c r="W829" s="43">
        <v>10</v>
      </c>
      <c r="Y829" s="173" t="s">
        <v>645</v>
      </c>
    </row>
    <row r="830" spans="18:25">
      <c r="R830" s="41" t="s">
        <v>644</v>
      </c>
      <c r="S830" s="41">
        <v>2</v>
      </c>
      <c r="T830" s="41">
        <v>3</v>
      </c>
      <c r="U830" s="42">
        <v>1143</v>
      </c>
      <c r="V830" s="41">
        <v>140.16999999999999</v>
      </c>
      <c r="W830" s="43">
        <v>10</v>
      </c>
      <c r="Y830" s="173" t="s">
        <v>648</v>
      </c>
    </row>
    <row r="831" spans="18:25">
      <c r="R831" s="41" t="s">
        <v>644</v>
      </c>
      <c r="S831" s="41">
        <v>2</v>
      </c>
      <c r="T831" s="41">
        <v>4</v>
      </c>
      <c r="U831" s="42">
        <v>1143</v>
      </c>
      <c r="V831" s="41">
        <v>139.15</v>
      </c>
      <c r="W831" s="43">
        <v>10</v>
      </c>
      <c r="Y831" s="173" t="s">
        <v>651</v>
      </c>
    </row>
    <row r="832" spans="18:25">
      <c r="R832" s="41" t="s">
        <v>654</v>
      </c>
      <c r="S832" s="41">
        <v>2</v>
      </c>
      <c r="T832" s="41">
        <v>2</v>
      </c>
      <c r="U832" s="42">
        <v>1320</v>
      </c>
      <c r="V832" s="41">
        <v>139.69</v>
      </c>
      <c r="W832" s="43">
        <v>35</v>
      </c>
      <c r="Y832" s="173" t="s">
        <v>655</v>
      </c>
    </row>
    <row r="833" spans="18:25">
      <c r="R833" s="41" t="s">
        <v>654</v>
      </c>
      <c r="S833" s="41">
        <v>2</v>
      </c>
      <c r="T833" s="41">
        <v>3</v>
      </c>
      <c r="U833" s="42">
        <v>1320</v>
      </c>
      <c r="V833" s="41">
        <v>140.16999999999999</v>
      </c>
      <c r="W833" s="43">
        <v>35</v>
      </c>
      <c r="Y833" s="173" t="s">
        <v>658</v>
      </c>
    </row>
    <row r="834" spans="18:25">
      <c r="R834" s="41" t="s">
        <v>654</v>
      </c>
      <c r="S834" s="41">
        <v>2</v>
      </c>
      <c r="T834" s="41">
        <v>4</v>
      </c>
      <c r="U834" s="42">
        <v>1320</v>
      </c>
      <c r="V834" s="41">
        <v>139.15</v>
      </c>
      <c r="W834" s="43">
        <v>35</v>
      </c>
      <c r="Y834" s="173" t="s">
        <v>661</v>
      </c>
    </row>
    <row r="844" spans="18:25">
      <c r="S844" s="52" t="s">
        <v>715</v>
      </c>
      <c r="Y844" s="44" t="s">
        <v>885</v>
      </c>
    </row>
    <row r="845" spans="18:25">
      <c r="R845" s="429" t="s">
        <v>490</v>
      </c>
      <c r="S845" s="430"/>
      <c r="T845" s="430"/>
      <c r="U845" s="430"/>
      <c r="V845" s="430"/>
      <c r="W845" s="431"/>
    </row>
    <row r="846" spans="18:25">
      <c r="R846" s="15" t="s">
        <v>497</v>
      </c>
      <c r="S846" s="16" t="s">
        <v>498</v>
      </c>
      <c r="T846" s="16" t="s">
        <v>483</v>
      </c>
      <c r="U846" s="16" t="s">
        <v>499</v>
      </c>
      <c r="V846" s="16" t="s">
        <v>500</v>
      </c>
      <c r="W846" s="17" t="s">
        <v>501</v>
      </c>
    </row>
    <row r="847" spans="18:25">
      <c r="R847" s="40" t="s">
        <v>720</v>
      </c>
      <c r="S847" s="41">
        <v>2</v>
      </c>
      <c r="T847" s="41">
        <v>2</v>
      </c>
      <c r="U847" s="42">
        <v>1115</v>
      </c>
      <c r="V847" s="41">
        <v>160.83000000000001</v>
      </c>
      <c r="W847" s="43">
        <v>28</v>
      </c>
    </row>
    <row r="848" spans="18:25">
      <c r="R848" s="40" t="s">
        <v>720</v>
      </c>
      <c r="S848" s="41">
        <v>2</v>
      </c>
      <c r="T848" s="41">
        <v>3</v>
      </c>
      <c r="U848" s="42">
        <v>1115</v>
      </c>
      <c r="V848" s="41">
        <v>160.83000000000001</v>
      </c>
      <c r="W848" s="43">
        <v>28</v>
      </c>
    </row>
    <row r="849" spans="18:23">
      <c r="R849" s="40" t="s">
        <v>720</v>
      </c>
      <c r="S849" s="41">
        <v>2</v>
      </c>
      <c r="T849" s="41">
        <v>4</v>
      </c>
      <c r="U849" s="42">
        <v>1115</v>
      </c>
      <c r="V849" s="41">
        <v>160.83000000000001</v>
      </c>
      <c r="W849" s="43">
        <v>28</v>
      </c>
    </row>
    <row r="850" spans="18:23">
      <c r="R850" s="40" t="s">
        <v>727</v>
      </c>
      <c r="S850" s="41">
        <v>3</v>
      </c>
      <c r="T850" s="41">
        <v>2</v>
      </c>
      <c r="U850" s="42">
        <v>1507</v>
      </c>
      <c r="V850" s="41">
        <v>185.28</v>
      </c>
      <c r="W850" s="43">
        <v>56</v>
      </c>
    </row>
    <row r="851" spans="18:23">
      <c r="R851" s="40" t="s">
        <v>727</v>
      </c>
      <c r="S851" s="41">
        <v>3</v>
      </c>
      <c r="T851" s="41">
        <v>3</v>
      </c>
      <c r="U851" s="42">
        <v>1507</v>
      </c>
      <c r="V851" s="41">
        <v>185.28</v>
      </c>
      <c r="W851" s="43">
        <v>56</v>
      </c>
    </row>
    <row r="852" spans="18:23">
      <c r="R852" s="40" t="s">
        <v>727</v>
      </c>
      <c r="S852" s="41">
        <v>3</v>
      </c>
      <c r="T852" s="41">
        <v>4</v>
      </c>
      <c r="U852" s="42">
        <v>1507</v>
      </c>
      <c r="V852" s="41">
        <v>185.28</v>
      </c>
      <c r="W852" s="43">
        <v>56</v>
      </c>
    </row>
    <row r="853" spans="18:23">
      <c r="R853" s="40" t="s">
        <v>734</v>
      </c>
      <c r="S853" s="41">
        <v>4</v>
      </c>
      <c r="T853" s="41">
        <v>2</v>
      </c>
      <c r="U853" s="42">
        <v>1496</v>
      </c>
      <c r="V853" s="157">
        <v>195</v>
      </c>
      <c r="W853" s="43">
        <v>28</v>
      </c>
    </row>
    <row r="854" spans="18:23">
      <c r="R854" s="40" t="s">
        <v>734</v>
      </c>
      <c r="S854" s="41">
        <v>4</v>
      </c>
      <c r="T854" s="41">
        <v>3</v>
      </c>
      <c r="U854" s="42">
        <v>1496</v>
      </c>
      <c r="V854" s="157">
        <v>195</v>
      </c>
      <c r="W854" s="43">
        <v>28</v>
      </c>
    </row>
    <row r="855" spans="18:23">
      <c r="R855" s="40" t="s">
        <v>734</v>
      </c>
      <c r="S855" s="41">
        <v>4</v>
      </c>
      <c r="T855" s="41">
        <v>4</v>
      </c>
      <c r="U855" s="42">
        <v>1496</v>
      </c>
      <c r="V855" s="157">
        <v>195</v>
      </c>
      <c r="W855" s="43">
        <v>28</v>
      </c>
    </row>
    <row r="856" spans="18:23">
      <c r="R856" s="40" t="s">
        <v>741</v>
      </c>
      <c r="S856" s="41">
        <v>2</v>
      </c>
      <c r="T856" s="41">
        <v>2</v>
      </c>
      <c r="U856" s="42">
        <v>1423</v>
      </c>
      <c r="V856" s="41">
        <v>160.83000000000001</v>
      </c>
      <c r="W856" s="43">
        <v>38</v>
      </c>
    </row>
    <row r="857" spans="18:23">
      <c r="R857" s="40" t="s">
        <v>741</v>
      </c>
      <c r="S857" s="41">
        <v>2</v>
      </c>
      <c r="T857" s="41">
        <v>3</v>
      </c>
      <c r="U857" s="42">
        <v>1423</v>
      </c>
      <c r="V857" s="41">
        <v>160.83000000000001</v>
      </c>
      <c r="W857" s="43">
        <v>38</v>
      </c>
    </row>
    <row r="858" spans="18:23">
      <c r="R858" s="40" t="s">
        <v>741</v>
      </c>
      <c r="S858" s="41">
        <v>2</v>
      </c>
      <c r="T858" s="41">
        <v>4</v>
      </c>
      <c r="U858" s="42">
        <v>1423</v>
      </c>
      <c r="V858" s="41">
        <v>160.83000000000001</v>
      </c>
      <c r="W858" s="43">
        <v>38</v>
      </c>
    </row>
    <row r="859" spans="18:23">
      <c r="R859" s="40" t="s">
        <v>748</v>
      </c>
      <c r="S859" s="41">
        <v>3</v>
      </c>
      <c r="T859" s="41">
        <v>2</v>
      </c>
      <c r="U859" s="42">
        <v>1454</v>
      </c>
      <c r="V859" s="41">
        <v>185.28</v>
      </c>
      <c r="W859" s="43">
        <v>26</v>
      </c>
    </row>
    <row r="860" spans="18:23">
      <c r="R860" s="40" t="s">
        <v>748</v>
      </c>
      <c r="S860" s="41">
        <v>3</v>
      </c>
      <c r="T860" s="41">
        <v>3</v>
      </c>
      <c r="U860" s="42">
        <v>1454</v>
      </c>
      <c r="V860" s="41">
        <v>185.28</v>
      </c>
      <c r="W860" s="43">
        <v>26</v>
      </c>
    </row>
    <row r="861" spans="18:23">
      <c r="R861" s="40" t="s">
        <v>748</v>
      </c>
      <c r="S861" s="41">
        <v>3</v>
      </c>
      <c r="T861" s="41">
        <v>4</v>
      </c>
      <c r="U861" s="42">
        <v>1454</v>
      </c>
      <c r="V861" s="41">
        <v>185.28</v>
      </c>
      <c r="W861" s="43">
        <v>26</v>
      </c>
    </row>
    <row r="862" spans="18:23">
      <c r="R862" s="40" t="s">
        <v>753</v>
      </c>
      <c r="S862" s="41">
        <v>4</v>
      </c>
      <c r="T862" s="41">
        <v>2</v>
      </c>
      <c r="U862" s="42">
        <v>1579</v>
      </c>
      <c r="V862" s="157">
        <v>195</v>
      </c>
      <c r="W862" s="43">
        <v>27</v>
      </c>
    </row>
    <row r="863" spans="18:23">
      <c r="R863" s="40" t="s">
        <v>753</v>
      </c>
      <c r="S863" s="41">
        <v>4</v>
      </c>
      <c r="T863" s="41">
        <v>3</v>
      </c>
      <c r="U863" s="42">
        <v>1579</v>
      </c>
      <c r="V863" s="157">
        <v>195</v>
      </c>
      <c r="W863" s="43">
        <v>27</v>
      </c>
    </row>
    <row r="864" spans="18:23">
      <c r="R864" s="48" t="s">
        <v>753</v>
      </c>
      <c r="S864" s="49">
        <v>4</v>
      </c>
      <c r="T864" s="49">
        <v>4</v>
      </c>
      <c r="U864" s="50">
        <v>1579</v>
      </c>
      <c r="V864" s="167">
        <v>195</v>
      </c>
      <c r="W864" s="51">
        <v>27</v>
      </c>
    </row>
    <row r="902" spans="18:23">
      <c r="R902" s="41"/>
      <c r="S902" s="41"/>
      <c r="T902" s="41"/>
      <c r="U902" s="41"/>
      <c r="V902" s="41"/>
      <c r="W902" s="41"/>
    </row>
    <row r="904" spans="18:23">
      <c r="R904" s="429" t="s">
        <v>490</v>
      </c>
      <c r="S904" s="430"/>
      <c r="T904" s="430"/>
      <c r="U904" s="430"/>
      <c r="V904" s="430"/>
      <c r="W904" s="431"/>
    </row>
    <row r="905" spans="18:23">
      <c r="R905" s="15" t="s">
        <v>497</v>
      </c>
      <c r="S905" s="16" t="s">
        <v>498</v>
      </c>
      <c r="T905" s="16" t="s">
        <v>483</v>
      </c>
      <c r="U905" s="16" t="s">
        <v>499</v>
      </c>
      <c r="V905" s="16" t="s">
        <v>500</v>
      </c>
      <c r="W905" s="17" t="s">
        <v>501</v>
      </c>
    </row>
    <row r="906" spans="18:23">
      <c r="R906" s="40" t="s">
        <v>508</v>
      </c>
      <c r="S906" s="41">
        <v>2</v>
      </c>
      <c r="T906" s="41">
        <v>2</v>
      </c>
      <c r="U906" s="42">
        <v>1356</v>
      </c>
      <c r="V906" s="41">
        <v>133.29</v>
      </c>
      <c r="W906" s="43">
        <v>40</v>
      </c>
    </row>
    <row r="907" spans="18:23">
      <c r="R907" s="40" t="s">
        <v>508</v>
      </c>
      <c r="S907" s="41">
        <v>2</v>
      </c>
      <c r="T907" s="41">
        <v>3</v>
      </c>
      <c r="U907" s="42">
        <v>1356</v>
      </c>
      <c r="V907" s="41">
        <v>133.75</v>
      </c>
      <c r="W907" s="43">
        <v>40</v>
      </c>
    </row>
    <row r="908" spans="18:23">
      <c r="R908" s="40" t="s">
        <v>508</v>
      </c>
      <c r="S908" s="41">
        <v>2</v>
      </c>
      <c r="T908" s="41">
        <v>4</v>
      </c>
      <c r="U908" s="42">
        <v>1356</v>
      </c>
      <c r="V908" s="41">
        <v>132.78</v>
      </c>
      <c r="W908" s="43">
        <v>40</v>
      </c>
    </row>
    <row r="909" spans="18:23">
      <c r="R909" s="40" t="s">
        <v>524</v>
      </c>
      <c r="S909" s="41">
        <v>4</v>
      </c>
      <c r="T909" s="41">
        <v>2</v>
      </c>
      <c r="U909" s="42">
        <v>1517</v>
      </c>
      <c r="V909" s="41">
        <v>129.21</v>
      </c>
      <c r="W909" s="43">
        <v>40</v>
      </c>
    </row>
    <row r="910" spans="18:23">
      <c r="R910" s="40" t="s">
        <v>524</v>
      </c>
      <c r="S910" s="41">
        <v>4</v>
      </c>
      <c r="T910" s="41">
        <v>3</v>
      </c>
      <c r="U910" s="42">
        <v>1517</v>
      </c>
      <c r="V910" s="157">
        <v>132.25</v>
      </c>
      <c r="W910" s="43">
        <v>40</v>
      </c>
    </row>
    <row r="911" spans="18:23">
      <c r="R911" s="40" t="s">
        <v>524</v>
      </c>
      <c r="S911" s="41">
        <v>4</v>
      </c>
      <c r="T911" s="41">
        <v>4</v>
      </c>
      <c r="U911" s="42">
        <v>1517</v>
      </c>
      <c r="V911" s="41">
        <v>129.41999999999999</v>
      </c>
      <c r="W911" s="43">
        <v>40</v>
      </c>
    </row>
    <row r="912" spans="18:23">
      <c r="R912" s="40" t="s">
        <v>538</v>
      </c>
      <c r="S912" s="41">
        <v>2</v>
      </c>
      <c r="T912" s="41">
        <v>2</v>
      </c>
      <c r="U912" s="42">
        <v>1231</v>
      </c>
      <c r="V912" s="41">
        <v>133.29</v>
      </c>
      <c r="W912" s="43">
        <v>30</v>
      </c>
    </row>
    <row r="913" spans="18:23">
      <c r="R913" s="40" t="s">
        <v>538</v>
      </c>
      <c r="S913" s="41">
        <v>2</v>
      </c>
      <c r="T913" s="41">
        <v>3</v>
      </c>
      <c r="U913" s="42">
        <v>1231</v>
      </c>
      <c r="V913" s="41">
        <v>133.75</v>
      </c>
      <c r="W913" s="43">
        <v>30</v>
      </c>
    </row>
    <row r="914" spans="18:23">
      <c r="R914" s="40" t="s">
        <v>538</v>
      </c>
      <c r="S914" s="41">
        <v>2</v>
      </c>
      <c r="T914" s="41">
        <v>4</v>
      </c>
      <c r="U914" s="42">
        <v>1231</v>
      </c>
      <c r="V914" s="41">
        <v>132.78</v>
      </c>
      <c r="W914" s="43">
        <v>30</v>
      </c>
    </row>
    <row r="915" spans="18:23">
      <c r="R915" s="40" t="s">
        <v>555</v>
      </c>
      <c r="S915" s="41">
        <v>2</v>
      </c>
      <c r="T915" s="41">
        <v>2</v>
      </c>
      <c r="U915" s="42">
        <v>1284</v>
      </c>
      <c r="V915" s="41">
        <v>133.29</v>
      </c>
      <c r="W915" s="43">
        <v>10</v>
      </c>
    </row>
    <row r="916" spans="18:23">
      <c r="R916" s="40" t="s">
        <v>555</v>
      </c>
      <c r="S916" s="41">
        <v>2</v>
      </c>
      <c r="T916" s="41">
        <v>3</v>
      </c>
      <c r="U916" s="42">
        <v>1284</v>
      </c>
      <c r="V916" s="41">
        <v>133.75</v>
      </c>
      <c r="W916" s="43">
        <v>10</v>
      </c>
    </row>
    <row r="917" spans="18:23">
      <c r="R917" s="40" t="s">
        <v>555</v>
      </c>
      <c r="S917" s="41">
        <v>2</v>
      </c>
      <c r="T917" s="41">
        <v>4</v>
      </c>
      <c r="U917" s="42">
        <v>1284</v>
      </c>
      <c r="V917" s="41">
        <v>132.78</v>
      </c>
      <c r="W917" s="43">
        <v>10</v>
      </c>
    </row>
    <row r="918" spans="18:23">
      <c r="R918" s="40" t="s">
        <v>570</v>
      </c>
      <c r="S918" s="41">
        <v>3</v>
      </c>
      <c r="T918" s="41">
        <v>2</v>
      </c>
      <c r="U918" s="42">
        <v>1477</v>
      </c>
      <c r="V918" s="41">
        <v>131.13</v>
      </c>
      <c r="W918" s="43">
        <v>40</v>
      </c>
    </row>
    <row r="919" spans="18:23">
      <c r="R919" s="40" t="s">
        <v>570</v>
      </c>
      <c r="S919" s="41">
        <v>3</v>
      </c>
      <c r="T919" s="41">
        <v>3</v>
      </c>
      <c r="U919" s="42">
        <v>1477</v>
      </c>
      <c r="V919" s="41">
        <v>133.38999999999999</v>
      </c>
      <c r="W919" s="43">
        <v>40</v>
      </c>
    </row>
    <row r="920" spans="18:23">
      <c r="R920" s="40" t="s">
        <v>570</v>
      </c>
      <c r="S920" s="41">
        <v>3</v>
      </c>
      <c r="T920" s="41">
        <v>4</v>
      </c>
      <c r="U920" s="42">
        <v>1477</v>
      </c>
      <c r="V920" s="41">
        <v>131.65</v>
      </c>
      <c r="W920" s="43">
        <v>40</v>
      </c>
    </row>
    <row r="921" spans="18:23">
      <c r="R921" s="40" t="s">
        <v>585</v>
      </c>
      <c r="S921" s="41">
        <v>6</v>
      </c>
      <c r="T921" s="41">
        <v>2</v>
      </c>
      <c r="U921" s="42">
        <v>1842</v>
      </c>
      <c r="V921" s="41">
        <v>129.21</v>
      </c>
      <c r="W921" s="43">
        <v>20</v>
      </c>
    </row>
    <row r="922" spans="18:23">
      <c r="R922" s="40" t="s">
        <v>585</v>
      </c>
      <c r="S922" s="41">
        <v>6</v>
      </c>
      <c r="T922" s="41">
        <v>3</v>
      </c>
      <c r="U922" s="42">
        <v>1842</v>
      </c>
      <c r="V922" s="157">
        <v>132.25</v>
      </c>
      <c r="W922" s="43">
        <v>20</v>
      </c>
    </row>
    <row r="923" spans="18:23">
      <c r="R923" s="40" t="s">
        <v>585</v>
      </c>
      <c r="S923" s="41">
        <v>6</v>
      </c>
      <c r="T923" s="41">
        <v>4</v>
      </c>
      <c r="U923" s="42">
        <v>1842</v>
      </c>
      <c r="V923" s="41">
        <v>129.41999999999999</v>
      </c>
      <c r="W923" s="43">
        <v>20</v>
      </c>
    </row>
    <row r="924" spans="18:23">
      <c r="R924" s="40" t="s">
        <v>595</v>
      </c>
      <c r="S924" s="41">
        <v>3</v>
      </c>
      <c r="T924" s="41">
        <v>2</v>
      </c>
      <c r="U924" s="42">
        <v>1396</v>
      </c>
      <c r="V924" s="41">
        <v>131.13</v>
      </c>
      <c r="W924" s="43">
        <v>30</v>
      </c>
    </row>
    <row r="925" spans="18:23">
      <c r="R925" s="40" t="s">
        <v>595</v>
      </c>
      <c r="S925" s="41">
        <v>3</v>
      </c>
      <c r="T925" s="41">
        <v>3</v>
      </c>
      <c r="U925" s="42">
        <v>1396</v>
      </c>
      <c r="V925" s="41">
        <v>133.38999999999999</v>
      </c>
      <c r="W925" s="43">
        <v>30</v>
      </c>
    </row>
    <row r="926" spans="18:23">
      <c r="R926" s="40" t="s">
        <v>595</v>
      </c>
      <c r="S926" s="41">
        <v>3</v>
      </c>
      <c r="T926" s="41">
        <v>4</v>
      </c>
      <c r="U926" s="42">
        <v>1396</v>
      </c>
      <c r="V926" s="41">
        <v>131.65</v>
      </c>
      <c r="W926" s="43">
        <v>30</v>
      </c>
    </row>
    <row r="927" spans="18:23">
      <c r="R927" s="40" t="s">
        <v>606</v>
      </c>
      <c r="S927" s="41">
        <v>5</v>
      </c>
      <c r="T927" s="41">
        <v>2</v>
      </c>
      <c r="U927" s="42">
        <v>1703</v>
      </c>
      <c r="V927" s="41">
        <v>129.21</v>
      </c>
      <c r="W927" s="43">
        <v>40</v>
      </c>
    </row>
    <row r="928" spans="18:23">
      <c r="R928" s="40" t="s">
        <v>606</v>
      </c>
      <c r="S928" s="41">
        <v>5</v>
      </c>
      <c r="T928" s="41">
        <v>3</v>
      </c>
      <c r="U928" s="42">
        <v>1703</v>
      </c>
      <c r="V928" s="157">
        <v>132.25</v>
      </c>
      <c r="W928" s="43">
        <v>40</v>
      </c>
    </row>
    <row r="929" spans="18:23">
      <c r="R929" s="40" t="s">
        <v>606</v>
      </c>
      <c r="S929" s="41">
        <v>5</v>
      </c>
      <c r="T929" s="41">
        <v>4</v>
      </c>
      <c r="U929" s="42">
        <v>1703</v>
      </c>
      <c r="V929" s="41">
        <v>129.41999999999999</v>
      </c>
      <c r="W929" s="43">
        <v>40</v>
      </c>
    </row>
    <row r="930" spans="18:23">
      <c r="R930" s="40" t="s">
        <v>616</v>
      </c>
      <c r="S930" s="41">
        <v>2</v>
      </c>
      <c r="T930" s="41">
        <v>2</v>
      </c>
      <c r="U930" s="42">
        <v>1144</v>
      </c>
      <c r="V930" s="41">
        <v>133.29</v>
      </c>
      <c r="W930" s="43">
        <v>10</v>
      </c>
    </row>
    <row r="931" spans="18:23">
      <c r="R931" s="40" t="s">
        <v>616</v>
      </c>
      <c r="S931" s="41">
        <v>2</v>
      </c>
      <c r="T931" s="41">
        <v>3</v>
      </c>
      <c r="U931" s="42">
        <v>1144</v>
      </c>
      <c r="V931" s="41">
        <v>133.75</v>
      </c>
      <c r="W931" s="43">
        <v>10</v>
      </c>
    </row>
    <row r="932" spans="18:23">
      <c r="R932" s="40" t="s">
        <v>616</v>
      </c>
      <c r="S932" s="41">
        <v>2</v>
      </c>
      <c r="T932" s="41">
        <v>4</v>
      </c>
      <c r="U932" s="42">
        <v>1144</v>
      </c>
      <c r="V932" s="41">
        <v>132.78</v>
      </c>
      <c r="W932" s="43">
        <v>10</v>
      </c>
    </row>
    <row r="933" spans="18:23">
      <c r="R933" s="40" t="s">
        <v>627</v>
      </c>
      <c r="S933" s="41">
        <v>4</v>
      </c>
      <c r="T933" s="41">
        <v>2</v>
      </c>
      <c r="U933" s="42">
        <v>1545</v>
      </c>
      <c r="V933" s="41">
        <v>129.21</v>
      </c>
      <c r="W933" s="43">
        <v>10</v>
      </c>
    </row>
    <row r="934" spans="18:23">
      <c r="R934" s="40" t="s">
        <v>627</v>
      </c>
      <c r="S934" s="41">
        <v>4</v>
      </c>
      <c r="T934" s="41">
        <v>3</v>
      </c>
      <c r="U934" s="42">
        <v>1545</v>
      </c>
      <c r="V934" s="157">
        <v>132.25</v>
      </c>
      <c r="W934" s="43">
        <v>10</v>
      </c>
    </row>
    <row r="935" spans="18:23">
      <c r="R935" s="40" t="s">
        <v>627</v>
      </c>
      <c r="S935" s="41">
        <v>4</v>
      </c>
      <c r="T935" s="41">
        <v>4</v>
      </c>
      <c r="U935" s="42">
        <v>1545</v>
      </c>
      <c r="V935" s="41">
        <v>129.41999999999999</v>
      </c>
      <c r="W935" s="43">
        <v>10</v>
      </c>
    </row>
    <row r="936" spans="18:23">
      <c r="R936" s="40" t="s">
        <v>636</v>
      </c>
      <c r="S936" s="41">
        <v>3</v>
      </c>
      <c r="T936" s="41">
        <v>2</v>
      </c>
      <c r="U936" s="42">
        <v>1400</v>
      </c>
      <c r="V936" s="41">
        <v>131.13</v>
      </c>
      <c r="W936" s="43">
        <v>30</v>
      </c>
    </row>
    <row r="937" spans="18:23">
      <c r="R937" s="40" t="s">
        <v>636</v>
      </c>
      <c r="S937" s="41">
        <v>3</v>
      </c>
      <c r="T937" s="41">
        <v>3</v>
      </c>
      <c r="U937" s="42">
        <v>1400</v>
      </c>
      <c r="V937" s="41">
        <v>133.38999999999999</v>
      </c>
      <c r="W937" s="43">
        <v>30</v>
      </c>
    </row>
    <row r="938" spans="18:23">
      <c r="R938" s="40" t="s">
        <v>636</v>
      </c>
      <c r="S938" s="41">
        <v>3</v>
      </c>
      <c r="T938" s="41">
        <v>4</v>
      </c>
      <c r="U938" s="42">
        <v>1400</v>
      </c>
      <c r="V938" s="41">
        <v>131.65</v>
      </c>
      <c r="W938" s="43">
        <v>30</v>
      </c>
    </row>
    <row r="939" spans="18:23">
      <c r="R939" s="40" t="s">
        <v>644</v>
      </c>
      <c r="S939" s="41">
        <v>2</v>
      </c>
      <c r="T939" s="41">
        <v>2</v>
      </c>
      <c r="U939" s="42">
        <v>1143</v>
      </c>
      <c r="V939" s="41">
        <v>133.29</v>
      </c>
      <c r="W939" s="43">
        <v>10</v>
      </c>
    </row>
    <row r="940" spans="18:23">
      <c r="R940" s="40" t="s">
        <v>644</v>
      </c>
      <c r="S940" s="41">
        <v>2</v>
      </c>
      <c r="T940" s="41">
        <v>3</v>
      </c>
      <c r="U940" s="42">
        <v>1143</v>
      </c>
      <c r="V940" s="41">
        <v>133.75</v>
      </c>
      <c r="W940" s="43">
        <v>10</v>
      </c>
    </row>
    <row r="941" spans="18:23">
      <c r="R941" s="40" t="s">
        <v>644</v>
      </c>
      <c r="S941" s="41">
        <v>2</v>
      </c>
      <c r="T941" s="41">
        <v>4</v>
      </c>
      <c r="U941" s="42">
        <v>1143</v>
      </c>
      <c r="V941" s="41">
        <v>132.78</v>
      </c>
      <c r="W941" s="43">
        <v>10</v>
      </c>
    </row>
    <row r="942" spans="18:23">
      <c r="R942" s="40" t="s">
        <v>654</v>
      </c>
      <c r="S942" s="41">
        <v>2</v>
      </c>
      <c r="T942" s="41">
        <v>2</v>
      </c>
      <c r="U942" s="42">
        <v>1320</v>
      </c>
      <c r="V942" s="41">
        <v>133.29</v>
      </c>
      <c r="W942" s="43">
        <v>35</v>
      </c>
    </row>
    <row r="943" spans="18:23">
      <c r="R943" s="40" t="s">
        <v>654</v>
      </c>
      <c r="S943" s="41">
        <v>2</v>
      </c>
      <c r="T943" s="41">
        <v>3</v>
      </c>
      <c r="U943" s="42">
        <v>1320</v>
      </c>
      <c r="V943" s="41">
        <v>133.75</v>
      </c>
      <c r="W943" s="43">
        <v>35</v>
      </c>
    </row>
    <row r="944" spans="18:23">
      <c r="R944" s="48" t="s">
        <v>654</v>
      </c>
      <c r="S944" s="49">
        <v>2</v>
      </c>
      <c r="T944" s="49">
        <v>4</v>
      </c>
      <c r="U944" s="50">
        <v>1320</v>
      </c>
      <c r="V944" s="41">
        <v>132.78</v>
      </c>
      <c r="W944" s="51">
        <v>35</v>
      </c>
    </row>
    <row r="946" spans="18:23">
      <c r="R946" s="429" t="s">
        <v>490</v>
      </c>
      <c r="S946" s="430"/>
      <c r="T946" s="430"/>
      <c r="U946" s="430"/>
      <c r="V946" s="430"/>
      <c r="W946" s="431"/>
    </row>
    <row r="947" spans="18:23">
      <c r="R947" s="15" t="s">
        <v>497</v>
      </c>
      <c r="S947" s="16" t="s">
        <v>498</v>
      </c>
      <c r="T947" s="16" t="s">
        <v>483</v>
      </c>
      <c r="U947" s="16" t="s">
        <v>499</v>
      </c>
      <c r="V947" s="16" t="s">
        <v>500</v>
      </c>
      <c r="W947" s="17" t="s">
        <v>501</v>
      </c>
    </row>
    <row r="948" spans="18:23">
      <c r="R948" s="40" t="s">
        <v>508</v>
      </c>
      <c r="S948" s="41">
        <v>2</v>
      </c>
      <c r="T948" s="41">
        <v>2</v>
      </c>
      <c r="U948" s="42">
        <v>1356</v>
      </c>
      <c r="V948" s="41">
        <v>133.29</v>
      </c>
      <c r="W948" s="43">
        <v>40</v>
      </c>
    </row>
    <row r="949" spans="18:23">
      <c r="R949" s="40" t="s">
        <v>508</v>
      </c>
      <c r="S949" s="41">
        <v>2</v>
      </c>
      <c r="T949" s="41">
        <v>3</v>
      </c>
      <c r="U949" s="42">
        <v>1356</v>
      </c>
      <c r="V949" s="41">
        <v>133.75</v>
      </c>
      <c r="W949" s="43">
        <v>40</v>
      </c>
    </row>
    <row r="950" spans="18:23">
      <c r="R950" s="40" t="s">
        <v>508</v>
      </c>
      <c r="S950" s="41">
        <v>2</v>
      </c>
      <c r="T950" s="41">
        <v>4</v>
      </c>
      <c r="U950" s="42">
        <v>1356</v>
      </c>
      <c r="V950" s="41">
        <v>132.78</v>
      </c>
      <c r="W950" s="43">
        <v>40</v>
      </c>
    </row>
    <row r="951" spans="18:23">
      <c r="R951" s="40" t="s">
        <v>524</v>
      </c>
      <c r="S951" s="41">
        <v>4</v>
      </c>
      <c r="T951" s="41">
        <v>2</v>
      </c>
      <c r="U951" s="42">
        <v>1517</v>
      </c>
      <c r="V951" s="41">
        <v>129.21</v>
      </c>
      <c r="W951" s="43">
        <v>40</v>
      </c>
    </row>
    <row r="952" spans="18:23">
      <c r="R952" s="40" t="s">
        <v>524</v>
      </c>
      <c r="S952" s="41">
        <v>4</v>
      </c>
      <c r="T952" s="41">
        <v>3</v>
      </c>
      <c r="U952" s="42">
        <v>1517</v>
      </c>
      <c r="V952" s="157">
        <v>132.25</v>
      </c>
      <c r="W952" s="43">
        <v>40</v>
      </c>
    </row>
    <row r="953" spans="18:23">
      <c r="R953" s="40" t="s">
        <v>524</v>
      </c>
      <c r="S953" s="41">
        <v>4</v>
      </c>
      <c r="T953" s="41">
        <v>4</v>
      </c>
      <c r="U953" s="42">
        <v>1517</v>
      </c>
      <c r="V953" s="41">
        <v>129.41999999999999</v>
      </c>
      <c r="W953" s="43">
        <v>40</v>
      </c>
    </row>
    <row r="954" spans="18:23">
      <c r="R954" s="40" t="s">
        <v>538</v>
      </c>
      <c r="S954" s="41">
        <v>2</v>
      </c>
      <c r="T954" s="41">
        <v>2</v>
      </c>
      <c r="U954" s="42">
        <v>1231</v>
      </c>
      <c r="V954" s="41">
        <v>133.29</v>
      </c>
      <c r="W954" s="43">
        <v>30</v>
      </c>
    </row>
    <row r="955" spans="18:23">
      <c r="R955" s="40" t="s">
        <v>538</v>
      </c>
      <c r="S955" s="41">
        <v>2</v>
      </c>
      <c r="T955" s="41">
        <v>3</v>
      </c>
      <c r="U955" s="42">
        <v>1231</v>
      </c>
      <c r="V955" s="41">
        <v>133.75</v>
      </c>
      <c r="W955" s="43">
        <v>30</v>
      </c>
    </row>
    <row r="956" spans="18:23">
      <c r="R956" s="40" t="s">
        <v>538</v>
      </c>
      <c r="S956" s="41">
        <v>2</v>
      </c>
      <c r="T956" s="41">
        <v>4</v>
      </c>
      <c r="U956" s="42">
        <v>1231</v>
      </c>
      <c r="V956" s="41">
        <v>132.78</v>
      </c>
      <c r="W956" s="43">
        <v>30</v>
      </c>
    </row>
    <row r="957" spans="18:23">
      <c r="R957" s="40" t="s">
        <v>555</v>
      </c>
      <c r="S957" s="41">
        <v>2</v>
      </c>
      <c r="T957" s="41">
        <v>2</v>
      </c>
      <c r="U957" s="42">
        <v>1284</v>
      </c>
      <c r="V957" s="41">
        <v>133.29</v>
      </c>
      <c r="W957" s="43">
        <v>10</v>
      </c>
    </row>
    <row r="958" spans="18:23">
      <c r="R958" s="40" t="s">
        <v>555</v>
      </c>
      <c r="S958" s="41">
        <v>2</v>
      </c>
      <c r="T958" s="41">
        <v>3</v>
      </c>
      <c r="U958" s="42">
        <v>1284</v>
      </c>
      <c r="V958" s="41">
        <v>133.75</v>
      </c>
      <c r="W958" s="43">
        <v>10</v>
      </c>
    </row>
    <row r="959" spans="18:23">
      <c r="R959" s="40" t="s">
        <v>555</v>
      </c>
      <c r="S959" s="41">
        <v>2</v>
      </c>
      <c r="T959" s="41">
        <v>4</v>
      </c>
      <c r="U959" s="42">
        <v>1284</v>
      </c>
      <c r="V959" s="41">
        <v>132.78</v>
      </c>
      <c r="W959" s="43">
        <v>10</v>
      </c>
    </row>
    <row r="960" spans="18:23">
      <c r="R960" s="40" t="s">
        <v>570</v>
      </c>
      <c r="S960" s="41">
        <v>3</v>
      </c>
      <c r="T960" s="41">
        <v>2</v>
      </c>
      <c r="U960" s="42">
        <v>1477</v>
      </c>
      <c r="V960" s="41">
        <v>131.13</v>
      </c>
      <c r="W960" s="43">
        <v>40</v>
      </c>
    </row>
    <row r="961" spans="18:23">
      <c r="R961" s="40" t="s">
        <v>570</v>
      </c>
      <c r="S961" s="41">
        <v>3</v>
      </c>
      <c r="T961" s="41">
        <v>3</v>
      </c>
      <c r="U961" s="42">
        <v>1477</v>
      </c>
      <c r="V961" s="41">
        <v>133.38999999999999</v>
      </c>
      <c r="W961" s="43">
        <v>40</v>
      </c>
    </row>
    <row r="962" spans="18:23">
      <c r="R962" s="40" t="s">
        <v>570</v>
      </c>
      <c r="S962" s="41">
        <v>3</v>
      </c>
      <c r="T962" s="41">
        <v>4</v>
      </c>
      <c r="U962" s="42">
        <v>1477</v>
      </c>
      <c r="V962" s="41">
        <v>131.65</v>
      </c>
      <c r="W962" s="43">
        <v>40</v>
      </c>
    </row>
    <row r="963" spans="18:23">
      <c r="R963" s="40" t="s">
        <v>585</v>
      </c>
      <c r="S963" s="41">
        <v>6</v>
      </c>
      <c r="T963" s="41">
        <v>2</v>
      </c>
      <c r="U963" s="42">
        <v>1844</v>
      </c>
      <c r="V963" s="41">
        <v>129.21</v>
      </c>
      <c r="W963" s="43">
        <v>20</v>
      </c>
    </row>
    <row r="964" spans="18:23">
      <c r="R964" s="40" t="s">
        <v>585</v>
      </c>
      <c r="S964" s="41">
        <v>6</v>
      </c>
      <c r="T964" s="41">
        <v>3</v>
      </c>
      <c r="U964" s="42">
        <v>1844</v>
      </c>
      <c r="V964" s="157">
        <v>132.25</v>
      </c>
      <c r="W964" s="43">
        <v>20</v>
      </c>
    </row>
    <row r="965" spans="18:23">
      <c r="R965" s="40" t="s">
        <v>585</v>
      </c>
      <c r="S965" s="41">
        <v>6</v>
      </c>
      <c r="T965" s="41">
        <v>4</v>
      </c>
      <c r="U965" s="42">
        <v>1844</v>
      </c>
      <c r="V965" s="41">
        <v>129.41999999999999</v>
      </c>
      <c r="W965" s="43">
        <v>20</v>
      </c>
    </row>
    <row r="966" spans="18:23">
      <c r="R966" s="40" t="s">
        <v>595</v>
      </c>
      <c r="S966" s="41">
        <v>3</v>
      </c>
      <c r="T966" s="41">
        <v>2</v>
      </c>
      <c r="U966" s="42">
        <v>1396</v>
      </c>
      <c r="V966" s="41">
        <v>131.13</v>
      </c>
      <c r="W966" s="43">
        <v>30</v>
      </c>
    </row>
    <row r="967" spans="18:23">
      <c r="R967" s="40" t="s">
        <v>595</v>
      </c>
      <c r="S967" s="41">
        <v>3</v>
      </c>
      <c r="T967" s="41">
        <v>3</v>
      </c>
      <c r="U967" s="42">
        <v>1396</v>
      </c>
      <c r="V967" s="41">
        <v>133.38999999999999</v>
      </c>
      <c r="W967" s="43">
        <v>30</v>
      </c>
    </row>
    <row r="968" spans="18:23">
      <c r="R968" s="40" t="s">
        <v>595</v>
      </c>
      <c r="S968" s="41">
        <v>3</v>
      </c>
      <c r="T968" s="41">
        <v>4</v>
      </c>
      <c r="U968" s="42">
        <v>1396</v>
      </c>
      <c r="V968" s="41">
        <v>131.65</v>
      </c>
      <c r="W968" s="43">
        <v>30</v>
      </c>
    </row>
    <row r="969" spans="18:23">
      <c r="R969" s="40" t="s">
        <v>606</v>
      </c>
      <c r="S969" s="41">
        <v>5</v>
      </c>
      <c r="T969" s="41">
        <v>2</v>
      </c>
      <c r="U969" s="42">
        <v>1703</v>
      </c>
      <c r="V969" s="41">
        <v>129.21</v>
      </c>
      <c r="W969" s="43">
        <v>40</v>
      </c>
    </row>
    <row r="970" spans="18:23">
      <c r="R970" s="40" t="s">
        <v>606</v>
      </c>
      <c r="S970" s="41">
        <v>5</v>
      </c>
      <c r="T970" s="41">
        <v>3</v>
      </c>
      <c r="U970" s="42">
        <v>1703</v>
      </c>
      <c r="V970" s="157">
        <v>132.25</v>
      </c>
      <c r="W970" s="43">
        <v>40</v>
      </c>
    </row>
    <row r="971" spans="18:23">
      <c r="R971" s="40" t="s">
        <v>606</v>
      </c>
      <c r="S971" s="41">
        <v>5</v>
      </c>
      <c r="T971" s="41">
        <v>4</v>
      </c>
      <c r="U971" s="42">
        <v>1703</v>
      </c>
      <c r="V971" s="41">
        <v>129.41999999999999</v>
      </c>
      <c r="W971" s="43">
        <v>40</v>
      </c>
    </row>
    <row r="972" spans="18:23">
      <c r="R972" s="40" t="s">
        <v>616</v>
      </c>
      <c r="S972" s="41">
        <v>2</v>
      </c>
      <c r="T972" s="41">
        <v>2</v>
      </c>
      <c r="U972" s="42">
        <v>1144</v>
      </c>
      <c r="V972" s="41">
        <v>133.29</v>
      </c>
      <c r="W972" s="43">
        <v>10</v>
      </c>
    </row>
    <row r="973" spans="18:23">
      <c r="R973" s="40" t="s">
        <v>616</v>
      </c>
      <c r="S973" s="41">
        <v>2</v>
      </c>
      <c r="T973" s="41">
        <v>3</v>
      </c>
      <c r="U973" s="42">
        <v>1144</v>
      </c>
      <c r="V973" s="41">
        <v>133.75</v>
      </c>
      <c r="W973" s="43">
        <v>10</v>
      </c>
    </row>
    <row r="974" spans="18:23">
      <c r="R974" s="40" t="s">
        <v>616</v>
      </c>
      <c r="S974" s="41">
        <v>2</v>
      </c>
      <c r="T974" s="41">
        <v>4</v>
      </c>
      <c r="U974" s="42">
        <v>1144</v>
      </c>
      <c r="V974" s="41">
        <v>132.78</v>
      </c>
      <c r="W974" s="43">
        <v>10</v>
      </c>
    </row>
    <row r="975" spans="18:23">
      <c r="R975" s="40" t="s">
        <v>627</v>
      </c>
      <c r="S975" s="41">
        <v>4</v>
      </c>
      <c r="T975" s="41">
        <v>2</v>
      </c>
      <c r="U975" s="42">
        <v>1545</v>
      </c>
      <c r="V975" s="41">
        <v>129.21</v>
      </c>
      <c r="W975" s="43">
        <v>10</v>
      </c>
    </row>
    <row r="976" spans="18:23">
      <c r="R976" s="40" t="s">
        <v>627</v>
      </c>
      <c r="S976" s="41">
        <v>4</v>
      </c>
      <c r="T976" s="41">
        <v>3</v>
      </c>
      <c r="U976" s="42">
        <v>1545</v>
      </c>
      <c r="V976" s="157">
        <v>132.25</v>
      </c>
      <c r="W976" s="43">
        <v>10</v>
      </c>
    </row>
    <row r="977" spans="18:23">
      <c r="R977" s="40" t="s">
        <v>627</v>
      </c>
      <c r="S977" s="41">
        <v>4</v>
      </c>
      <c r="T977" s="41">
        <v>4</v>
      </c>
      <c r="U977" s="42">
        <v>1545</v>
      </c>
      <c r="V977" s="41">
        <v>129.41999999999999</v>
      </c>
      <c r="W977" s="43">
        <v>10</v>
      </c>
    </row>
    <row r="978" spans="18:23">
      <c r="R978" s="40" t="s">
        <v>636</v>
      </c>
      <c r="S978" s="41">
        <v>3</v>
      </c>
      <c r="T978" s="41">
        <v>2</v>
      </c>
      <c r="U978" s="42">
        <v>1400</v>
      </c>
      <c r="V978" s="41">
        <v>131.13</v>
      </c>
      <c r="W978" s="43">
        <v>30</v>
      </c>
    </row>
    <row r="979" spans="18:23">
      <c r="R979" s="40" t="s">
        <v>636</v>
      </c>
      <c r="S979" s="41">
        <v>3</v>
      </c>
      <c r="T979" s="41">
        <v>3</v>
      </c>
      <c r="U979" s="42">
        <v>1400</v>
      </c>
      <c r="V979" s="41">
        <v>133.38999999999999</v>
      </c>
      <c r="W979" s="43">
        <v>30</v>
      </c>
    </row>
    <row r="980" spans="18:23">
      <c r="R980" s="40" t="s">
        <v>636</v>
      </c>
      <c r="S980" s="41">
        <v>3</v>
      </c>
      <c r="T980" s="41">
        <v>4</v>
      </c>
      <c r="U980" s="42">
        <v>1400</v>
      </c>
      <c r="V980" s="41">
        <v>131.65</v>
      </c>
      <c r="W980" s="43">
        <v>30</v>
      </c>
    </row>
    <row r="981" spans="18:23">
      <c r="R981" s="40" t="s">
        <v>644</v>
      </c>
      <c r="S981" s="41">
        <v>2</v>
      </c>
      <c r="T981" s="41">
        <v>2</v>
      </c>
      <c r="U981" s="42">
        <v>1143</v>
      </c>
      <c r="V981" s="41">
        <v>133.29</v>
      </c>
      <c r="W981" s="43">
        <v>10</v>
      </c>
    </row>
    <row r="982" spans="18:23">
      <c r="R982" s="40" t="s">
        <v>644</v>
      </c>
      <c r="S982" s="41">
        <v>2</v>
      </c>
      <c r="T982" s="41">
        <v>3</v>
      </c>
      <c r="U982" s="42">
        <v>1143</v>
      </c>
      <c r="V982" s="41">
        <v>133.75</v>
      </c>
      <c r="W982" s="43">
        <v>10</v>
      </c>
    </row>
    <row r="983" spans="18:23">
      <c r="R983" s="40" t="s">
        <v>644</v>
      </c>
      <c r="S983" s="41">
        <v>2</v>
      </c>
      <c r="T983" s="41">
        <v>4</v>
      </c>
      <c r="U983" s="42">
        <v>1143</v>
      </c>
      <c r="V983" s="41">
        <v>132.78</v>
      </c>
      <c r="W983" s="43">
        <v>10</v>
      </c>
    </row>
    <row r="984" spans="18:23">
      <c r="R984" s="40" t="s">
        <v>654</v>
      </c>
      <c r="S984" s="41">
        <v>2</v>
      </c>
      <c r="T984" s="41">
        <v>2</v>
      </c>
      <c r="U984" s="42">
        <v>1320</v>
      </c>
      <c r="V984" s="41">
        <v>133.29</v>
      </c>
      <c r="W984" s="43">
        <v>35</v>
      </c>
    </row>
    <row r="985" spans="18:23">
      <c r="R985" s="40" t="s">
        <v>654</v>
      </c>
      <c r="S985" s="41">
        <v>2</v>
      </c>
      <c r="T985" s="41">
        <v>3</v>
      </c>
      <c r="U985" s="42">
        <v>1320</v>
      </c>
      <c r="V985" s="41">
        <v>133.75</v>
      </c>
      <c r="W985" s="43">
        <v>35</v>
      </c>
    </row>
    <row r="986" spans="18:23">
      <c r="R986" s="48" t="s">
        <v>654</v>
      </c>
      <c r="S986" s="49">
        <v>2</v>
      </c>
      <c r="T986" s="49">
        <v>4</v>
      </c>
      <c r="U986" s="50">
        <v>1320</v>
      </c>
      <c r="V986" s="41">
        <v>132.78</v>
      </c>
      <c r="W986" s="51">
        <v>35</v>
      </c>
    </row>
    <row r="989" spans="18:23">
      <c r="R989" s="429" t="s">
        <v>490</v>
      </c>
      <c r="S989" s="430"/>
      <c r="T989" s="430"/>
      <c r="U989" s="430"/>
      <c r="V989" s="430"/>
      <c r="W989" s="431"/>
    </row>
    <row r="990" spans="18:23">
      <c r="R990" s="15" t="s">
        <v>497</v>
      </c>
      <c r="S990" s="16" t="s">
        <v>498</v>
      </c>
      <c r="T990" s="16" t="s">
        <v>483</v>
      </c>
      <c r="U990" s="16" t="s">
        <v>499</v>
      </c>
      <c r="V990" s="16" t="s">
        <v>500</v>
      </c>
      <c r="W990" s="17" t="s">
        <v>501</v>
      </c>
    </row>
    <row r="991" spans="18:23">
      <c r="R991" s="40" t="s">
        <v>508</v>
      </c>
      <c r="S991" s="41">
        <v>2</v>
      </c>
      <c r="T991" s="41">
        <v>2</v>
      </c>
      <c r="U991" s="42">
        <v>1356</v>
      </c>
      <c r="V991" s="41">
        <v>139.69</v>
      </c>
      <c r="W991" s="43">
        <v>40</v>
      </c>
    </row>
    <row r="992" spans="18:23">
      <c r="R992" s="40" t="s">
        <v>508</v>
      </c>
      <c r="S992" s="41">
        <v>2</v>
      </c>
      <c r="T992" s="41">
        <v>3</v>
      </c>
      <c r="U992" s="42">
        <v>1356</v>
      </c>
      <c r="V992" s="41">
        <v>140.16999999999999</v>
      </c>
      <c r="W992" s="43">
        <v>40</v>
      </c>
    </row>
    <row r="993" spans="18:23">
      <c r="R993" s="40" t="s">
        <v>508</v>
      </c>
      <c r="S993" s="41">
        <v>2</v>
      </c>
      <c r="T993" s="41">
        <v>4</v>
      </c>
      <c r="U993" s="42">
        <v>1356</v>
      </c>
      <c r="V993" s="41">
        <v>139.15</v>
      </c>
      <c r="W993" s="43">
        <v>40</v>
      </c>
    </row>
    <row r="994" spans="18:23">
      <c r="R994" s="40" t="s">
        <v>524</v>
      </c>
      <c r="S994" s="41">
        <v>4</v>
      </c>
      <c r="T994" s="41">
        <v>2</v>
      </c>
      <c r="U994" s="42">
        <v>1517</v>
      </c>
      <c r="V994" s="41">
        <v>135.41</v>
      </c>
      <c r="W994" s="43">
        <v>40</v>
      </c>
    </row>
    <row r="995" spans="18:23">
      <c r="R995" s="40" t="s">
        <v>524</v>
      </c>
      <c r="S995" s="41">
        <v>4</v>
      </c>
      <c r="T995" s="41">
        <v>3</v>
      </c>
      <c r="U995" s="42">
        <v>1517</v>
      </c>
      <c r="V995" s="157">
        <v>138.6</v>
      </c>
      <c r="W995" s="43">
        <v>40</v>
      </c>
    </row>
    <row r="996" spans="18:23">
      <c r="R996" s="40" t="s">
        <v>524</v>
      </c>
      <c r="S996" s="41">
        <v>4</v>
      </c>
      <c r="T996" s="41">
        <v>4</v>
      </c>
      <c r="U996" s="42">
        <v>1517</v>
      </c>
      <c r="V996" s="41">
        <v>135.63</v>
      </c>
      <c r="W996" s="43">
        <v>40</v>
      </c>
    </row>
    <row r="997" spans="18:23">
      <c r="R997" s="40" t="s">
        <v>538</v>
      </c>
      <c r="S997" s="41">
        <v>2</v>
      </c>
      <c r="T997" s="41">
        <v>2</v>
      </c>
      <c r="U997" s="42">
        <v>1231</v>
      </c>
      <c r="V997" s="41">
        <v>139.69</v>
      </c>
      <c r="W997" s="43">
        <v>30</v>
      </c>
    </row>
    <row r="998" spans="18:23">
      <c r="R998" s="40" t="s">
        <v>538</v>
      </c>
      <c r="S998" s="41">
        <v>2</v>
      </c>
      <c r="T998" s="41">
        <v>3</v>
      </c>
      <c r="U998" s="42">
        <v>1231</v>
      </c>
      <c r="V998" s="41">
        <v>140.16999999999999</v>
      </c>
      <c r="W998" s="43">
        <v>30</v>
      </c>
    </row>
    <row r="999" spans="18:23">
      <c r="R999" s="40" t="s">
        <v>538</v>
      </c>
      <c r="S999" s="41">
        <v>2</v>
      </c>
      <c r="T999" s="41">
        <v>4</v>
      </c>
      <c r="U999" s="42">
        <v>1231</v>
      </c>
      <c r="V999" s="41">
        <v>139.15</v>
      </c>
      <c r="W999" s="43">
        <v>30</v>
      </c>
    </row>
    <row r="1000" spans="18:23">
      <c r="R1000" s="40" t="s">
        <v>555</v>
      </c>
      <c r="S1000" s="41">
        <v>2</v>
      </c>
      <c r="T1000" s="41">
        <v>2</v>
      </c>
      <c r="U1000" s="42">
        <v>1284</v>
      </c>
      <c r="V1000" s="41">
        <v>139.69</v>
      </c>
      <c r="W1000" s="43">
        <v>10</v>
      </c>
    </row>
    <row r="1001" spans="18:23">
      <c r="R1001" s="40" t="s">
        <v>555</v>
      </c>
      <c r="S1001" s="41">
        <v>2</v>
      </c>
      <c r="T1001" s="41">
        <v>3</v>
      </c>
      <c r="U1001" s="42">
        <v>1284</v>
      </c>
      <c r="V1001" s="41">
        <v>140.16999999999999</v>
      </c>
      <c r="W1001" s="43">
        <v>10</v>
      </c>
    </row>
    <row r="1002" spans="18:23">
      <c r="R1002" s="40" t="s">
        <v>555</v>
      </c>
      <c r="S1002" s="41">
        <v>2</v>
      </c>
      <c r="T1002" s="41">
        <v>4</v>
      </c>
      <c r="U1002" s="42">
        <v>1284</v>
      </c>
      <c r="V1002" s="41">
        <v>139.15</v>
      </c>
      <c r="W1002" s="43">
        <v>10</v>
      </c>
    </row>
    <row r="1003" spans="18:23">
      <c r="R1003" s="40" t="s">
        <v>570</v>
      </c>
      <c r="S1003" s="41">
        <v>3</v>
      </c>
      <c r="T1003" s="41">
        <v>2</v>
      </c>
      <c r="U1003" s="42">
        <v>1477</v>
      </c>
      <c r="V1003" s="41">
        <v>137.41999999999999</v>
      </c>
      <c r="W1003" s="43">
        <v>40</v>
      </c>
    </row>
    <row r="1004" spans="18:23">
      <c r="R1004" s="40" t="s">
        <v>570</v>
      </c>
      <c r="S1004" s="41">
        <v>3</v>
      </c>
      <c r="T1004" s="41">
        <v>3</v>
      </c>
      <c r="U1004" s="42">
        <v>1477</v>
      </c>
      <c r="V1004" s="41">
        <v>139.79</v>
      </c>
      <c r="W1004" s="43">
        <v>40</v>
      </c>
    </row>
    <row r="1005" spans="18:23">
      <c r="R1005" s="40" t="s">
        <v>570</v>
      </c>
      <c r="S1005" s="41">
        <v>3</v>
      </c>
      <c r="T1005" s="41">
        <v>4</v>
      </c>
      <c r="U1005" s="42">
        <v>1477</v>
      </c>
      <c r="V1005" s="41">
        <v>137.97</v>
      </c>
      <c r="W1005" s="43">
        <v>40</v>
      </c>
    </row>
    <row r="1006" spans="18:23">
      <c r="R1006" s="40" t="s">
        <v>585</v>
      </c>
      <c r="S1006" s="41">
        <v>6</v>
      </c>
      <c r="T1006" s="41">
        <v>2</v>
      </c>
      <c r="U1006" s="42">
        <v>1844</v>
      </c>
      <c r="V1006" s="157">
        <v>135.41</v>
      </c>
      <c r="W1006" s="43">
        <v>20</v>
      </c>
    </row>
    <row r="1007" spans="18:23">
      <c r="R1007" s="40" t="s">
        <v>585</v>
      </c>
      <c r="S1007" s="41">
        <v>6</v>
      </c>
      <c r="T1007" s="41">
        <v>3</v>
      </c>
      <c r="U1007" s="42">
        <v>1844</v>
      </c>
      <c r="V1007" s="157">
        <v>138.6</v>
      </c>
      <c r="W1007" s="43">
        <v>20</v>
      </c>
    </row>
    <row r="1008" spans="18:23">
      <c r="R1008" s="40" t="s">
        <v>585</v>
      </c>
      <c r="S1008" s="41">
        <v>6</v>
      </c>
      <c r="T1008" s="41">
        <v>4</v>
      </c>
      <c r="U1008" s="42">
        <v>1844</v>
      </c>
      <c r="V1008" s="41">
        <v>135.63</v>
      </c>
      <c r="W1008" s="43">
        <v>20</v>
      </c>
    </row>
    <row r="1009" spans="18:23">
      <c r="R1009" s="40" t="s">
        <v>595</v>
      </c>
      <c r="S1009" s="41">
        <v>3</v>
      </c>
      <c r="T1009" s="41">
        <v>2</v>
      </c>
      <c r="U1009" s="42">
        <v>1326</v>
      </c>
      <c r="V1009" s="41">
        <v>137.41999999999999</v>
      </c>
      <c r="W1009" s="43">
        <v>30</v>
      </c>
    </row>
    <row r="1010" spans="18:23">
      <c r="R1010" s="40" t="s">
        <v>595</v>
      </c>
      <c r="S1010" s="41">
        <v>3</v>
      </c>
      <c r="T1010" s="41">
        <v>3</v>
      </c>
      <c r="U1010" s="42">
        <v>1326</v>
      </c>
      <c r="V1010" s="41">
        <v>139.79</v>
      </c>
      <c r="W1010" s="43">
        <v>30</v>
      </c>
    </row>
    <row r="1011" spans="18:23">
      <c r="R1011" s="40" t="s">
        <v>595</v>
      </c>
      <c r="S1011" s="41">
        <v>3</v>
      </c>
      <c r="T1011" s="41">
        <v>4</v>
      </c>
      <c r="U1011" s="42">
        <v>1326</v>
      </c>
      <c r="V1011" s="41">
        <v>137.97</v>
      </c>
      <c r="W1011" s="43">
        <v>30</v>
      </c>
    </row>
    <row r="1012" spans="18:23">
      <c r="R1012" s="40" t="s">
        <v>606</v>
      </c>
      <c r="S1012" s="41">
        <v>5</v>
      </c>
      <c r="T1012" s="41">
        <v>2</v>
      </c>
      <c r="U1012" s="42">
        <v>1703</v>
      </c>
      <c r="V1012" s="157">
        <v>135.41</v>
      </c>
      <c r="W1012" s="43">
        <v>40</v>
      </c>
    </row>
    <row r="1013" spans="18:23">
      <c r="R1013" s="40" t="s">
        <v>606</v>
      </c>
      <c r="S1013" s="41">
        <v>5</v>
      </c>
      <c r="T1013" s="41">
        <v>3</v>
      </c>
      <c r="U1013" s="42">
        <v>1703</v>
      </c>
      <c r="V1013" s="157">
        <v>138.6</v>
      </c>
      <c r="W1013" s="43">
        <v>40</v>
      </c>
    </row>
    <row r="1014" spans="18:23">
      <c r="R1014" s="40" t="s">
        <v>606</v>
      </c>
      <c r="S1014" s="41">
        <v>5</v>
      </c>
      <c r="T1014" s="41">
        <v>4</v>
      </c>
      <c r="U1014" s="42">
        <v>1703</v>
      </c>
      <c r="V1014" s="41">
        <v>135.63</v>
      </c>
      <c r="W1014" s="43">
        <v>40</v>
      </c>
    </row>
    <row r="1015" spans="18:23">
      <c r="R1015" s="40" t="s">
        <v>616</v>
      </c>
      <c r="S1015" s="41">
        <v>2</v>
      </c>
      <c r="T1015" s="41">
        <v>2</v>
      </c>
      <c r="U1015" s="42">
        <v>1144</v>
      </c>
      <c r="V1015" s="41">
        <v>139.69</v>
      </c>
      <c r="W1015" s="43">
        <v>10</v>
      </c>
    </row>
    <row r="1016" spans="18:23">
      <c r="R1016" s="40" t="s">
        <v>616</v>
      </c>
      <c r="S1016" s="41">
        <v>2</v>
      </c>
      <c r="T1016" s="41">
        <v>3</v>
      </c>
      <c r="U1016" s="42">
        <v>1144</v>
      </c>
      <c r="V1016" s="41">
        <v>140.16999999999999</v>
      </c>
      <c r="W1016" s="43">
        <v>10</v>
      </c>
    </row>
    <row r="1017" spans="18:23">
      <c r="R1017" s="40" t="s">
        <v>616</v>
      </c>
      <c r="S1017" s="41">
        <v>2</v>
      </c>
      <c r="T1017" s="41">
        <v>4</v>
      </c>
      <c r="U1017" s="42">
        <v>1144</v>
      </c>
      <c r="V1017" s="41">
        <v>139.15</v>
      </c>
      <c r="W1017" s="43">
        <v>10</v>
      </c>
    </row>
    <row r="1018" spans="18:23">
      <c r="R1018" s="40" t="s">
        <v>627</v>
      </c>
      <c r="S1018" s="41">
        <v>4</v>
      </c>
      <c r="T1018" s="41">
        <v>2</v>
      </c>
      <c r="U1018" s="42">
        <v>1545</v>
      </c>
      <c r="V1018" s="41">
        <v>135.41</v>
      </c>
      <c r="W1018" s="43">
        <v>10</v>
      </c>
    </row>
    <row r="1019" spans="18:23">
      <c r="R1019" s="40" t="s">
        <v>627</v>
      </c>
      <c r="S1019" s="41">
        <v>4</v>
      </c>
      <c r="T1019" s="41">
        <v>3</v>
      </c>
      <c r="U1019" s="42">
        <v>1545</v>
      </c>
      <c r="V1019" s="157">
        <v>138.6</v>
      </c>
      <c r="W1019" s="43">
        <v>10</v>
      </c>
    </row>
    <row r="1020" spans="18:23">
      <c r="R1020" s="40" t="s">
        <v>627</v>
      </c>
      <c r="S1020" s="41">
        <v>4</v>
      </c>
      <c r="T1020" s="41">
        <v>4</v>
      </c>
      <c r="U1020" s="42">
        <v>1545</v>
      </c>
      <c r="V1020" s="41">
        <v>135.63</v>
      </c>
      <c r="W1020" s="43">
        <v>10</v>
      </c>
    </row>
    <row r="1021" spans="18:23">
      <c r="R1021" s="40" t="s">
        <v>636</v>
      </c>
      <c r="S1021" s="41">
        <v>3</v>
      </c>
      <c r="T1021" s="41">
        <v>2</v>
      </c>
      <c r="U1021" s="42">
        <v>1400</v>
      </c>
      <c r="V1021" s="41">
        <v>137.41999999999999</v>
      </c>
      <c r="W1021" s="43">
        <v>30</v>
      </c>
    </row>
    <row r="1022" spans="18:23">
      <c r="R1022" s="40" t="s">
        <v>636</v>
      </c>
      <c r="S1022" s="41">
        <v>3</v>
      </c>
      <c r="T1022" s="41">
        <v>3</v>
      </c>
      <c r="U1022" s="42">
        <v>1400</v>
      </c>
      <c r="V1022" s="41">
        <v>139.79</v>
      </c>
      <c r="W1022" s="43">
        <v>30</v>
      </c>
    </row>
    <row r="1023" spans="18:23">
      <c r="R1023" s="40" t="s">
        <v>636</v>
      </c>
      <c r="S1023" s="41">
        <v>3</v>
      </c>
      <c r="T1023" s="41">
        <v>4</v>
      </c>
      <c r="U1023" s="42">
        <v>1400</v>
      </c>
      <c r="V1023" s="41">
        <v>137.97</v>
      </c>
      <c r="W1023" s="43">
        <v>30</v>
      </c>
    </row>
    <row r="1024" spans="18:23">
      <c r="R1024" s="40" t="s">
        <v>644</v>
      </c>
      <c r="S1024" s="41">
        <v>2</v>
      </c>
      <c r="T1024" s="41">
        <v>2</v>
      </c>
      <c r="U1024" s="42">
        <v>1143</v>
      </c>
      <c r="V1024" s="41">
        <v>139.69</v>
      </c>
      <c r="W1024" s="43">
        <v>10</v>
      </c>
    </row>
    <row r="1025" spans="18:23">
      <c r="R1025" s="40" t="s">
        <v>644</v>
      </c>
      <c r="S1025" s="41">
        <v>2</v>
      </c>
      <c r="T1025" s="41">
        <v>3</v>
      </c>
      <c r="U1025" s="42">
        <v>1143</v>
      </c>
      <c r="V1025" s="41">
        <v>140.16999999999999</v>
      </c>
      <c r="W1025" s="43">
        <v>10</v>
      </c>
    </row>
    <row r="1026" spans="18:23">
      <c r="R1026" s="40" t="s">
        <v>644</v>
      </c>
      <c r="S1026" s="41">
        <v>2</v>
      </c>
      <c r="T1026" s="41">
        <v>4</v>
      </c>
      <c r="U1026" s="42">
        <v>1143</v>
      </c>
      <c r="V1026" s="41">
        <v>139.15</v>
      </c>
      <c r="W1026" s="43">
        <v>10</v>
      </c>
    </row>
    <row r="1027" spans="18:23">
      <c r="R1027" s="40" t="s">
        <v>654</v>
      </c>
      <c r="S1027" s="41">
        <v>2</v>
      </c>
      <c r="T1027" s="41">
        <v>2</v>
      </c>
      <c r="U1027" s="42">
        <v>1320</v>
      </c>
      <c r="V1027" s="41">
        <v>139.69</v>
      </c>
      <c r="W1027" s="43">
        <v>35</v>
      </c>
    </row>
    <row r="1028" spans="18:23">
      <c r="R1028" s="40" t="s">
        <v>654</v>
      </c>
      <c r="S1028" s="41">
        <v>2</v>
      </c>
      <c r="T1028" s="41">
        <v>3</v>
      </c>
      <c r="U1028" s="42">
        <v>1320</v>
      </c>
      <c r="V1028" s="41">
        <v>140.16999999999999</v>
      </c>
      <c r="W1028" s="43">
        <v>35</v>
      </c>
    </row>
    <row r="1029" spans="18:23">
      <c r="R1029" s="48" t="s">
        <v>654</v>
      </c>
      <c r="S1029" s="49">
        <v>2</v>
      </c>
      <c r="T1029" s="49">
        <v>4</v>
      </c>
      <c r="U1029" s="50">
        <v>1320</v>
      </c>
      <c r="V1029" s="41">
        <v>139.15</v>
      </c>
      <c r="W1029" s="51">
        <v>35</v>
      </c>
    </row>
    <row r="1033" spans="18:23">
      <c r="R1033" s="429" t="s">
        <v>490</v>
      </c>
      <c r="S1033" s="430"/>
      <c r="T1033" s="430"/>
      <c r="U1033" s="430"/>
      <c r="V1033" s="430"/>
      <c r="W1033" s="431"/>
    </row>
    <row r="1034" spans="18:23">
      <c r="R1034" s="15" t="s">
        <v>497</v>
      </c>
      <c r="S1034" s="16" t="s">
        <v>498</v>
      </c>
      <c r="T1034" s="16" t="s">
        <v>483</v>
      </c>
      <c r="U1034" s="16" t="s">
        <v>499</v>
      </c>
      <c r="V1034" s="16" t="s">
        <v>500</v>
      </c>
      <c r="W1034" s="17" t="s">
        <v>501</v>
      </c>
    </row>
    <row r="1035" spans="18:23">
      <c r="R1035" s="40" t="s">
        <v>508</v>
      </c>
      <c r="S1035" s="41">
        <v>2</v>
      </c>
      <c r="T1035" s="41">
        <v>2</v>
      </c>
      <c r="U1035" s="42">
        <v>1357</v>
      </c>
      <c r="V1035" s="41">
        <v>139.69</v>
      </c>
      <c r="W1035" s="43">
        <v>40</v>
      </c>
    </row>
    <row r="1036" spans="18:23">
      <c r="R1036" s="40" t="s">
        <v>508</v>
      </c>
      <c r="S1036" s="41">
        <v>2</v>
      </c>
      <c r="T1036" s="41">
        <v>3</v>
      </c>
      <c r="U1036" s="42">
        <v>1357</v>
      </c>
      <c r="V1036" s="41">
        <v>140.16999999999999</v>
      </c>
      <c r="W1036" s="43">
        <v>40</v>
      </c>
    </row>
    <row r="1037" spans="18:23">
      <c r="R1037" s="40" t="s">
        <v>508</v>
      </c>
      <c r="S1037" s="41">
        <v>2</v>
      </c>
      <c r="T1037" s="41">
        <v>4</v>
      </c>
      <c r="U1037" s="42">
        <v>1357</v>
      </c>
      <c r="V1037" s="41">
        <v>139.15</v>
      </c>
      <c r="W1037" s="43">
        <v>40</v>
      </c>
    </row>
    <row r="1038" spans="18:23">
      <c r="R1038" s="40" t="s">
        <v>524</v>
      </c>
      <c r="S1038" s="41">
        <v>4</v>
      </c>
      <c r="T1038" s="41">
        <v>2</v>
      </c>
      <c r="U1038" s="42">
        <v>1507</v>
      </c>
      <c r="V1038" s="41">
        <v>135.41</v>
      </c>
      <c r="W1038" s="43">
        <v>40</v>
      </c>
    </row>
    <row r="1039" spans="18:23">
      <c r="R1039" s="40" t="s">
        <v>524</v>
      </c>
      <c r="S1039" s="41">
        <v>4</v>
      </c>
      <c r="T1039" s="41">
        <v>3</v>
      </c>
      <c r="U1039" s="42">
        <v>1507</v>
      </c>
      <c r="V1039" s="157">
        <v>138.6</v>
      </c>
      <c r="W1039" s="43">
        <v>40</v>
      </c>
    </row>
    <row r="1040" spans="18:23">
      <c r="R1040" s="40" t="s">
        <v>524</v>
      </c>
      <c r="S1040" s="41">
        <v>4</v>
      </c>
      <c r="T1040" s="41">
        <v>4</v>
      </c>
      <c r="U1040" s="42">
        <v>1507</v>
      </c>
      <c r="V1040" s="41">
        <v>135.63</v>
      </c>
      <c r="W1040" s="43">
        <v>40</v>
      </c>
    </row>
    <row r="1041" spans="18:23">
      <c r="R1041" s="40" t="s">
        <v>538</v>
      </c>
      <c r="S1041" s="41">
        <v>2</v>
      </c>
      <c r="T1041" s="41">
        <v>2</v>
      </c>
      <c r="U1041" s="42">
        <v>1231</v>
      </c>
      <c r="V1041" s="41">
        <v>139.69</v>
      </c>
      <c r="W1041" s="43">
        <v>30</v>
      </c>
    </row>
    <row r="1042" spans="18:23">
      <c r="R1042" s="40" t="s">
        <v>538</v>
      </c>
      <c r="S1042" s="41">
        <v>2</v>
      </c>
      <c r="T1042" s="41">
        <v>3</v>
      </c>
      <c r="U1042" s="42">
        <v>1231</v>
      </c>
      <c r="V1042" s="41">
        <v>140.16999999999999</v>
      </c>
      <c r="W1042" s="43">
        <v>30</v>
      </c>
    </row>
    <row r="1043" spans="18:23">
      <c r="R1043" s="40" t="s">
        <v>538</v>
      </c>
      <c r="S1043" s="41">
        <v>2</v>
      </c>
      <c r="T1043" s="41">
        <v>4</v>
      </c>
      <c r="U1043" s="42">
        <v>1231</v>
      </c>
      <c r="V1043" s="41">
        <v>139.15</v>
      </c>
      <c r="W1043" s="43">
        <v>30</v>
      </c>
    </row>
    <row r="1044" spans="18:23">
      <c r="R1044" s="40" t="s">
        <v>555</v>
      </c>
      <c r="S1044" s="41">
        <v>2</v>
      </c>
      <c r="T1044" s="41">
        <v>2</v>
      </c>
      <c r="U1044" s="42">
        <v>1284</v>
      </c>
      <c r="V1044" s="41">
        <v>139.69</v>
      </c>
      <c r="W1044" s="43">
        <v>10</v>
      </c>
    </row>
    <row r="1045" spans="18:23">
      <c r="R1045" s="40" t="s">
        <v>555</v>
      </c>
      <c r="S1045" s="41">
        <v>2</v>
      </c>
      <c r="T1045" s="41">
        <v>3</v>
      </c>
      <c r="U1045" s="42">
        <v>1284</v>
      </c>
      <c r="V1045" s="41">
        <v>140.16999999999999</v>
      </c>
      <c r="W1045" s="43">
        <v>10</v>
      </c>
    </row>
    <row r="1046" spans="18:23">
      <c r="R1046" s="40" t="s">
        <v>555</v>
      </c>
      <c r="S1046" s="41">
        <v>2</v>
      </c>
      <c r="T1046" s="41">
        <v>4</v>
      </c>
      <c r="U1046" s="42">
        <v>1284</v>
      </c>
      <c r="V1046" s="41">
        <v>139.15</v>
      </c>
      <c r="W1046" s="43">
        <v>10</v>
      </c>
    </row>
    <row r="1047" spans="18:23">
      <c r="R1047" s="40" t="s">
        <v>570</v>
      </c>
      <c r="S1047" s="41">
        <v>3</v>
      </c>
      <c r="T1047" s="41">
        <v>2</v>
      </c>
      <c r="U1047" s="42">
        <v>1479</v>
      </c>
      <c r="V1047" s="41">
        <v>137.41999999999999</v>
      </c>
      <c r="W1047" s="43">
        <v>40</v>
      </c>
    </row>
    <row r="1048" spans="18:23">
      <c r="R1048" s="40" t="s">
        <v>570</v>
      </c>
      <c r="S1048" s="41">
        <v>3</v>
      </c>
      <c r="T1048" s="41">
        <v>3</v>
      </c>
      <c r="U1048" s="42">
        <v>1479</v>
      </c>
      <c r="V1048" s="41">
        <v>139.79</v>
      </c>
      <c r="W1048" s="43">
        <v>40</v>
      </c>
    </row>
    <row r="1049" spans="18:23">
      <c r="R1049" s="40" t="s">
        <v>570</v>
      </c>
      <c r="S1049" s="41">
        <v>3</v>
      </c>
      <c r="T1049" s="41">
        <v>4</v>
      </c>
      <c r="U1049" s="42">
        <v>1479</v>
      </c>
      <c r="V1049" s="41">
        <v>137.97</v>
      </c>
      <c r="W1049" s="43">
        <v>40</v>
      </c>
    </row>
    <row r="1050" spans="18:23">
      <c r="R1050" s="40" t="s">
        <v>585</v>
      </c>
      <c r="S1050" s="41">
        <v>6</v>
      </c>
      <c r="T1050" s="41">
        <v>2</v>
      </c>
      <c r="U1050" s="42">
        <v>1844</v>
      </c>
      <c r="V1050" s="157">
        <v>135.41</v>
      </c>
      <c r="W1050" s="43">
        <v>20</v>
      </c>
    </row>
    <row r="1051" spans="18:23">
      <c r="R1051" s="40" t="s">
        <v>585</v>
      </c>
      <c r="S1051" s="41">
        <v>6</v>
      </c>
      <c r="T1051" s="41">
        <v>3</v>
      </c>
      <c r="U1051" s="42">
        <v>1844</v>
      </c>
      <c r="V1051" s="157">
        <v>138.6</v>
      </c>
      <c r="W1051" s="43">
        <v>20</v>
      </c>
    </row>
    <row r="1052" spans="18:23">
      <c r="R1052" s="40" t="s">
        <v>585</v>
      </c>
      <c r="S1052" s="41">
        <v>6</v>
      </c>
      <c r="T1052" s="41">
        <v>4</v>
      </c>
      <c r="U1052" s="42">
        <v>1844</v>
      </c>
      <c r="V1052" s="41">
        <v>135.63</v>
      </c>
      <c r="W1052" s="43">
        <v>20</v>
      </c>
    </row>
    <row r="1053" spans="18:23">
      <c r="R1053" s="40" t="s">
        <v>595</v>
      </c>
      <c r="S1053" s="41">
        <v>3</v>
      </c>
      <c r="T1053" s="41">
        <v>2</v>
      </c>
      <c r="U1053" s="42">
        <v>1397</v>
      </c>
      <c r="V1053" s="41">
        <v>137.41999999999999</v>
      </c>
      <c r="W1053" s="43">
        <v>30</v>
      </c>
    </row>
    <row r="1054" spans="18:23">
      <c r="R1054" s="40" t="s">
        <v>595</v>
      </c>
      <c r="S1054" s="41">
        <v>3</v>
      </c>
      <c r="T1054" s="41">
        <v>3</v>
      </c>
      <c r="U1054" s="42">
        <v>1397</v>
      </c>
      <c r="V1054" s="41">
        <v>139.79</v>
      </c>
      <c r="W1054" s="43">
        <v>30</v>
      </c>
    </row>
    <row r="1055" spans="18:23">
      <c r="R1055" s="40" t="s">
        <v>595</v>
      </c>
      <c r="S1055" s="41">
        <v>3</v>
      </c>
      <c r="T1055" s="41">
        <v>4</v>
      </c>
      <c r="U1055" s="42">
        <v>1397</v>
      </c>
      <c r="V1055" s="41">
        <v>137.97</v>
      </c>
      <c r="W1055" s="43">
        <v>30</v>
      </c>
    </row>
    <row r="1056" spans="18:23">
      <c r="R1056" s="40" t="s">
        <v>606</v>
      </c>
      <c r="S1056" s="41">
        <v>5</v>
      </c>
      <c r="T1056" s="41">
        <v>2</v>
      </c>
      <c r="U1056" s="42">
        <v>1703</v>
      </c>
      <c r="V1056" s="157">
        <v>135.41</v>
      </c>
      <c r="W1056" s="43">
        <v>40</v>
      </c>
    </row>
    <row r="1057" spans="18:23">
      <c r="R1057" s="40" t="s">
        <v>606</v>
      </c>
      <c r="S1057" s="41">
        <v>5</v>
      </c>
      <c r="T1057" s="41">
        <v>3</v>
      </c>
      <c r="U1057" s="42">
        <v>1703</v>
      </c>
      <c r="V1057" s="157">
        <v>138.6</v>
      </c>
      <c r="W1057" s="43">
        <v>40</v>
      </c>
    </row>
    <row r="1058" spans="18:23">
      <c r="R1058" s="40" t="s">
        <v>606</v>
      </c>
      <c r="S1058" s="41">
        <v>5</v>
      </c>
      <c r="T1058" s="41">
        <v>4</v>
      </c>
      <c r="U1058" s="42">
        <v>1703</v>
      </c>
      <c r="V1058" s="41">
        <v>135.63</v>
      </c>
      <c r="W1058" s="43">
        <v>40</v>
      </c>
    </row>
    <row r="1059" spans="18:23">
      <c r="R1059" s="40" t="s">
        <v>616</v>
      </c>
      <c r="S1059" s="41">
        <v>2</v>
      </c>
      <c r="T1059" s="41">
        <v>2</v>
      </c>
      <c r="U1059" s="42">
        <v>1144</v>
      </c>
      <c r="V1059" s="41">
        <v>139.69</v>
      </c>
      <c r="W1059" s="43">
        <v>10</v>
      </c>
    </row>
    <row r="1060" spans="18:23">
      <c r="R1060" s="40" t="s">
        <v>616</v>
      </c>
      <c r="S1060" s="41">
        <v>2</v>
      </c>
      <c r="T1060" s="41">
        <v>3</v>
      </c>
      <c r="U1060" s="42">
        <v>1144</v>
      </c>
      <c r="V1060" s="41">
        <v>140.16999999999999</v>
      </c>
      <c r="W1060" s="43">
        <v>10</v>
      </c>
    </row>
    <row r="1061" spans="18:23">
      <c r="R1061" s="40" t="s">
        <v>616</v>
      </c>
      <c r="S1061" s="41">
        <v>2</v>
      </c>
      <c r="T1061" s="41">
        <v>4</v>
      </c>
      <c r="U1061" s="42">
        <v>1144</v>
      </c>
      <c r="V1061" s="41">
        <v>139.15</v>
      </c>
      <c r="W1061" s="43">
        <v>10</v>
      </c>
    </row>
    <row r="1062" spans="18:23">
      <c r="R1062" s="40" t="s">
        <v>627</v>
      </c>
      <c r="S1062" s="41">
        <v>4</v>
      </c>
      <c r="T1062" s="41">
        <v>2</v>
      </c>
      <c r="U1062" s="42">
        <v>1545</v>
      </c>
      <c r="V1062" s="41">
        <v>135.41</v>
      </c>
      <c r="W1062" s="43">
        <v>10</v>
      </c>
    </row>
    <row r="1063" spans="18:23">
      <c r="R1063" s="40" t="s">
        <v>627</v>
      </c>
      <c r="S1063" s="41">
        <v>4</v>
      </c>
      <c r="T1063" s="41">
        <v>3</v>
      </c>
      <c r="U1063" s="42">
        <v>1545</v>
      </c>
      <c r="V1063" s="157">
        <v>138.6</v>
      </c>
      <c r="W1063" s="43">
        <v>10</v>
      </c>
    </row>
    <row r="1064" spans="18:23">
      <c r="R1064" s="40" t="s">
        <v>627</v>
      </c>
      <c r="S1064" s="41">
        <v>4</v>
      </c>
      <c r="T1064" s="41">
        <v>4</v>
      </c>
      <c r="U1064" s="42">
        <v>1545</v>
      </c>
      <c r="V1064" s="41">
        <v>135.63</v>
      </c>
      <c r="W1064" s="43">
        <v>10</v>
      </c>
    </row>
    <row r="1065" spans="18:23">
      <c r="R1065" s="40" t="s">
        <v>636</v>
      </c>
      <c r="S1065" s="41">
        <v>3</v>
      </c>
      <c r="T1065" s="41">
        <v>2</v>
      </c>
      <c r="U1065" s="42">
        <v>1400</v>
      </c>
      <c r="V1065" s="41">
        <v>137.41999999999999</v>
      </c>
      <c r="W1065" s="43">
        <v>30</v>
      </c>
    </row>
    <row r="1066" spans="18:23">
      <c r="R1066" s="40" t="s">
        <v>636</v>
      </c>
      <c r="S1066" s="41">
        <v>3</v>
      </c>
      <c r="T1066" s="41">
        <v>3</v>
      </c>
      <c r="U1066" s="42">
        <v>1400</v>
      </c>
      <c r="V1066" s="41">
        <v>139.79</v>
      </c>
      <c r="W1066" s="43">
        <v>30</v>
      </c>
    </row>
    <row r="1067" spans="18:23">
      <c r="R1067" s="40" t="s">
        <v>636</v>
      </c>
      <c r="S1067" s="41">
        <v>3</v>
      </c>
      <c r="T1067" s="41">
        <v>4</v>
      </c>
      <c r="U1067" s="42">
        <v>1400</v>
      </c>
      <c r="V1067" s="41">
        <v>137.97</v>
      </c>
      <c r="W1067" s="43">
        <v>30</v>
      </c>
    </row>
    <row r="1068" spans="18:23">
      <c r="R1068" s="40" t="s">
        <v>644</v>
      </c>
      <c r="S1068" s="41">
        <v>2</v>
      </c>
      <c r="T1068" s="41">
        <v>2</v>
      </c>
      <c r="U1068" s="42">
        <v>1144</v>
      </c>
      <c r="V1068" s="41">
        <v>139.69</v>
      </c>
      <c r="W1068" s="43">
        <v>10</v>
      </c>
    </row>
    <row r="1069" spans="18:23">
      <c r="R1069" s="40" t="s">
        <v>644</v>
      </c>
      <c r="S1069" s="41">
        <v>2</v>
      </c>
      <c r="T1069" s="41">
        <v>3</v>
      </c>
      <c r="U1069" s="42">
        <v>1144</v>
      </c>
      <c r="V1069" s="41">
        <v>140.16999999999999</v>
      </c>
      <c r="W1069" s="43">
        <v>10</v>
      </c>
    </row>
    <row r="1070" spans="18:23">
      <c r="R1070" s="40" t="s">
        <v>644</v>
      </c>
      <c r="S1070" s="41">
        <v>2</v>
      </c>
      <c r="T1070" s="41">
        <v>4</v>
      </c>
      <c r="U1070" s="42">
        <v>1144</v>
      </c>
      <c r="V1070" s="41">
        <v>139.15</v>
      </c>
      <c r="W1070" s="43">
        <v>10</v>
      </c>
    </row>
    <row r="1071" spans="18:23">
      <c r="R1071" s="40" t="s">
        <v>654</v>
      </c>
      <c r="S1071" s="41">
        <v>2</v>
      </c>
      <c r="T1071" s="41">
        <v>2</v>
      </c>
      <c r="U1071" s="42">
        <v>1320</v>
      </c>
      <c r="V1071" s="41">
        <v>139.69</v>
      </c>
      <c r="W1071" s="43">
        <v>35</v>
      </c>
    </row>
    <row r="1072" spans="18:23">
      <c r="R1072" s="40" t="s">
        <v>654</v>
      </c>
      <c r="S1072" s="41">
        <v>2</v>
      </c>
      <c r="T1072" s="41">
        <v>3</v>
      </c>
      <c r="U1072" s="42">
        <v>1320</v>
      </c>
      <c r="V1072" s="41">
        <v>140.16999999999999</v>
      </c>
      <c r="W1072" s="43">
        <v>35</v>
      </c>
    </row>
    <row r="1073" spans="18:23">
      <c r="R1073" s="48" t="s">
        <v>654</v>
      </c>
      <c r="S1073" s="49">
        <v>2</v>
      </c>
      <c r="T1073" s="49">
        <v>4</v>
      </c>
      <c r="U1073" s="50">
        <v>1320</v>
      </c>
      <c r="V1073" s="41">
        <v>139.15</v>
      </c>
      <c r="W1073" s="51">
        <v>35</v>
      </c>
    </row>
    <row r="1074" spans="18:23">
      <c r="R1074" s="40" t="s">
        <v>524</v>
      </c>
      <c r="S1074" s="41">
        <v>4</v>
      </c>
      <c r="T1074" s="41">
        <v>2</v>
      </c>
      <c r="U1074" s="42">
        <v>1507</v>
      </c>
      <c r="V1074" s="41">
        <v>129.21</v>
      </c>
      <c r="W1074" s="43">
        <v>40</v>
      </c>
    </row>
    <row r="1075" spans="18:23">
      <c r="R1075" s="40" t="s">
        <v>524</v>
      </c>
      <c r="S1075" s="41">
        <v>4</v>
      </c>
      <c r="T1075" s="41">
        <v>3</v>
      </c>
      <c r="U1075" s="42">
        <v>1507</v>
      </c>
      <c r="V1075" s="41">
        <v>132.25</v>
      </c>
      <c r="W1075" s="43">
        <v>40</v>
      </c>
    </row>
    <row r="1076" spans="18:23">
      <c r="R1076" s="40" t="s">
        <v>524</v>
      </c>
      <c r="S1076" s="41">
        <v>4</v>
      </c>
      <c r="T1076" s="41">
        <v>4</v>
      </c>
      <c r="U1076" s="42">
        <v>1507</v>
      </c>
      <c r="V1076" s="41">
        <v>129.41999999999999</v>
      </c>
      <c r="W1076" s="43">
        <v>40</v>
      </c>
    </row>
    <row r="1077" spans="18:23">
      <c r="R1077" s="40" t="s">
        <v>538</v>
      </c>
      <c r="S1077" s="41">
        <v>2</v>
      </c>
      <c r="T1077" s="41">
        <v>2</v>
      </c>
      <c r="U1077" s="42">
        <v>1231</v>
      </c>
      <c r="V1077" s="41">
        <v>133.29</v>
      </c>
      <c r="W1077" s="43">
        <v>30</v>
      </c>
    </row>
    <row r="1078" spans="18:23">
      <c r="R1078" s="40" t="s">
        <v>538</v>
      </c>
      <c r="S1078" s="41">
        <v>2</v>
      </c>
      <c r="T1078" s="41">
        <v>3</v>
      </c>
      <c r="U1078" s="42">
        <v>1231</v>
      </c>
      <c r="V1078" s="41">
        <v>133.75</v>
      </c>
      <c r="W1078" s="43">
        <v>30</v>
      </c>
    </row>
    <row r="1079" spans="18:23">
      <c r="R1079" s="40" t="s">
        <v>538</v>
      </c>
      <c r="S1079" s="41">
        <v>2</v>
      </c>
      <c r="T1079" s="41">
        <v>4</v>
      </c>
      <c r="U1079" s="42">
        <v>1231</v>
      </c>
      <c r="V1079" s="41">
        <v>132.78</v>
      </c>
      <c r="W1079" s="43">
        <v>30</v>
      </c>
    </row>
    <row r="1080" spans="18:23">
      <c r="R1080" s="40" t="s">
        <v>555</v>
      </c>
      <c r="S1080" s="41">
        <v>2</v>
      </c>
      <c r="T1080" s="41">
        <v>2</v>
      </c>
      <c r="U1080" s="42">
        <v>1284</v>
      </c>
      <c r="V1080" s="41">
        <v>133.29</v>
      </c>
      <c r="W1080" s="43">
        <v>10</v>
      </c>
    </row>
    <row r="1081" spans="18:23">
      <c r="R1081" s="40" t="s">
        <v>555</v>
      </c>
      <c r="S1081" s="41">
        <v>2</v>
      </c>
      <c r="T1081" s="41">
        <v>3</v>
      </c>
      <c r="U1081" s="42">
        <v>1284</v>
      </c>
      <c r="V1081" s="41">
        <v>133.75</v>
      </c>
      <c r="W1081" s="43">
        <v>10</v>
      </c>
    </row>
    <row r="1082" spans="18:23">
      <c r="R1082" s="40" t="s">
        <v>555</v>
      </c>
      <c r="S1082" s="41">
        <v>2</v>
      </c>
      <c r="T1082" s="41">
        <v>4</v>
      </c>
      <c r="U1082" s="42">
        <v>1284</v>
      </c>
      <c r="V1082" s="41">
        <v>132.78</v>
      </c>
      <c r="W1082" s="43">
        <v>10</v>
      </c>
    </row>
    <row r="1083" spans="18:23">
      <c r="R1083" s="40" t="s">
        <v>570</v>
      </c>
      <c r="S1083" s="41">
        <v>3</v>
      </c>
      <c r="T1083" s="41">
        <v>2</v>
      </c>
      <c r="U1083" s="42">
        <v>1479</v>
      </c>
      <c r="V1083" s="41">
        <v>131.13</v>
      </c>
      <c r="W1083" s="43">
        <v>40</v>
      </c>
    </row>
    <row r="1084" spans="18:23">
      <c r="R1084" s="40" t="s">
        <v>570</v>
      </c>
      <c r="S1084" s="41">
        <v>3</v>
      </c>
      <c r="T1084" s="41">
        <v>3</v>
      </c>
      <c r="U1084" s="42">
        <v>1479</v>
      </c>
      <c r="V1084" s="41">
        <v>133.38999999999999</v>
      </c>
      <c r="W1084" s="43">
        <v>40</v>
      </c>
    </row>
    <row r="1085" spans="18:23">
      <c r="R1085" s="40" t="s">
        <v>570</v>
      </c>
      <c r="S1085" s="41">
        <v>3</v>
      </c>
      <c r="T1085" s="41">
        <v>4</v>
      </c>
      <c r="U1085" s="42">
        <v>1479</v>
      </c>
      <c r="V1085" s="41">
        <v>131.65</v>
      </c>
      <c r="W1085" s="43">
        <v>40</v>
      </c>
    </row>
    <row r="1086" spans="18:23">
      <c r="R1086" s="40" t="s">
        <v>595</v>
      </c>
      <c r="S1086" s="41">
        <v>3</v>
      </c>
      <c r="T1086" s="41">
        <v>2</v>
      </c>
      <c r="U1086" s="42">
        <v>1397</v>
      </c>
      <c r="V1086" s="41">
        <v>131.13</v>
      </c>
      <c r="W1086" s="43">
        <v>30</v>
      </c>
    </row>
    <row r="1087" spans="18:23">
      <c r="R1087" s="40" t="s">
        <v>595</v>
      </c>
      <c r="S1087" s="41">
        <v>3</v>
      </c>
      <c r="T1087" s="41">
        <v>3</v>
      </c>
      <c r="U1087" s="42">
        <v>1397</v>
      </c>
      <c r="V1087" s="41">
        <v>133.38999999999999</v>
      </c>
      <c r="W1087" s="43">
        <v>30</v>
      </c>
    </row>
    <row r="1088" spans="18:23">
      <c r="R1088" s="40" t="s">
        <v>595</v>
      </c>
      <c r="S1088" s="41">
        <v>3</v>
      </c>
      <c r="T1088" s="41">
        <v>4</v>
      </c>
      <c r="U1088" s="42">
        <v>1397</v>
      </c>
      <c r="V1088" s="41">
        <v>131.65</v>
      </c>
      <c r="W1088" s="43">
        <v>30</v>
      </c>
    </row>
    <row r="1089" spans="18:23">
      <c r="R1089" s="40" t="s">
        <v>616</v>
      </c>
      <c r="S1089" s="41">
        <v>2</v>
      </c>
      <c r="T1089" s="41">
        <v>2</v>
      </c>
      <c r="U1089" s="42">
        <v>1144</v>
      </c>
      <c r="V1089" s="41">
        <v>133.29</v>
      </c>
      <c r="W1089" s="43">
        <v>10</v>
      </c>
    </row>
    <row r="1090" spans="18:23">
      <c r="R1090" s="40" t="s">
        <v>616</v>
      </c>
      <c r="S1090" s="41">
        <v>2</v>
      </c>
      <c r="T1090" s="41">
        <v>3</v>
      </c>
      <c r="U1090" s="42">
        <v>1144</v>
      </c>
      <c r="V1090" s="41">
        <v>133.75</v>
      </c>
      <c r="W1090" s="43">
        <v>10</v>
      </c>
    </row>
    <row r="1091" spans="18:23">
      <c r="R1091" s="40" t="s">
        <v>616</v>
      </c>
      <c r="S1091" s="41">
        <v>2</v>
      </c>
      <c r="T1091" s="41">
        <v>4</v>
      </c>
      <c r="U1091" s="42">
        <v>1144</v>
      </c>
      <c r="V1091" s="41">
        <v>132.78</v>
      </c>
      <c r="W1091" s="43">
        <v>10</v>
      </c>
    </row>
    <row r="1092" spans="18:23">
      <c r="R1092" s="40" t="s">
        <v>627</v>
      </c>
      <c r="S1092" s="41">
        <v>4</v>
      </c>
      <c r="T1092" s="41">
        <v>2</v>
      </c>
      <c r="U1092" s="42">
        <v>1545</v>
      </c>
      <c r="V1092" s="41">
        <v>129.21</v>
      </c>
      <c r="W1092" s="43">
        <v>10</v>
      </c>
    </row>
    <row r="1093" spans="18:23">
      <c r="R1093" s="40" t="s">
        <v>627</v>
      </c>
      <c r="S1093" s="41">
        <v>4</v>
      </c>
      <c r="T1093" s="41">
        <v>3</v>
      </c>
      <c r="U1093" s="42">
        <v>1545</v>
      </c>
      <c r="V1093" s="41">
        <v>132.25</v>
      </c>
      <c r="W1093" s="43">
        <v>10</v>
      </c>
    </row>
    <row r="1094" spans="18:23">
      <c r="R1094" s="40" t="s">
        <v>627</v>
      </c>
      <c r="S1094" s="41">
        <v>4</v>
      </c>
      <c r="T1094" s="41">
        <v>4</v>
      </c>
      <c r="U1094" s="42">
        <v>1545</v>
      </c>
      <c r="V1094" s="41">
        <v>129.41999999999999</v>
      </c>
      <c r="W1094" s="43">
        <v>10</v>
      </c>
    </row>
    <row r="1095" spans="18:23">
      <c r="R1095" s="40" t="s">
        <v>636</v>
      </c>
      <c r="S1095" s="41">
        <v>3</v>
      </c>
      <c r="T1095" s="41">
        <v>2</v>
      </c>
      <c r="U1095" s="42">
        <v>1400</v>
      </c>
      <c r="V1095" s="41">
        <v>131.13</v>
      </c>
      <c r="W1095" s="43">
        <v>30</v>
      </c>
    </row>
    <row r="1096" spans="18:23">
      <c r="R1096" s="40" t="s">
        <v>636</v>
      </c>
      <c r="S1096" s="41">
        <v>3</v>
      </c>
      <c r="T1096" s="41">
        <v>3</v>
      </c>
      <c r="U1096" s="42">
        <v>1400</v>
      </c>
      <c r="V1096" s="41">
        <v>133.38999999999999</v>
      </c>
      <c r="W1096" s="43">
        <v>30</v>
      </c>
    </row>
    <row r="1097" spans="18:23">
      <c r="R1097" s="40" t="s">
        <v>636</v>
      </c>
      <c r="S1097" s="41">
        <v>3</v>
      </c>
      <c r="T1097" s="41">
        <v>4</v>
      </c>
      <c r="U1097" s="42">
        <v>1400</v>
      </c>
      <c r="V1097" s="41">
        <v>131.65</v>
      </c>
      <c r="W1097" s="43">
        <v>30</v>
      </c>
    </row>
    <row r="1098" spans="18:23">
      <c r="R1098" s="40" t="s">
        <v>644</v>
      </c>
      <c r="S1098" s="41">
        <v>2</v>
      </c>
      <c r="T1098" s="41">
        <v>2</v>
      </c>
      <c r="U1098" s="42">
        <v>1144</v>
      </c>
      <c r="V1098" s="41">
        <v>133.29</v>
      </c>
      <c r="W1098" s="43">
        <v>10</v>
      </c>
    </row>
    <row r="1099" spans="18:23">
      <c r="R1099" s="40" t="s">
        <v>644</v>
      </c>
      <c r="S1099" s="41">
        <v>2</v>
      </c>
      <c r="T1099" s="41">
        <v>3</v>
      </c>
      <c r="U1099" s="42">
        <v>1144</v>
      </c>
      <c r="V1099" s="41">
        <v>133.75</v>
      </c>
      <c r="W1099" s="43">
        <v>10</v>
      </c>
    </row>
    <row r="1100" spans="18:23">
      <c r="R1100" s="40" t="s">
        <v>644</v>
      </c>
      <c r="S1100" s="41">
        <v>2</v>
      </c>
      <c r="T1100" s="41">
        <v>4</v>
      </c>
      <c r="U1100" s="42">
        <v>1144</v>
      </c>
      <c r="V1100" s="41">
        <v>132.78</v>
      </c>
      <c r="W1100" s="43">
        <v>10</v>
      </c>
    </row>
    <row r="1101" spans="18:23">
      <c r="R1101" s="40" t="s">
        <v>654</v>
      </c>
      <c r="S1101" s="41">
        <v>2</v>
      </c>
      <c r="T1101" s="41">
        <v>2</v>
      </c>
      <c r="U1101" s="42">
        <v>1320</v>
      </c>
      <c r="V1101" s="41">
        <v>133.29</v>
      </c>
      <c r="W1101" s="43">
        <v>35</v>
      </c>
    </row>
    <row r="1102" spans="18:23">
      <c r="R1102" s="40" t="s">
        <v>654</v>
      </c>
      <c r="S1102" s="41">
        <v>2</v>
      </c>
      <c r="T1102" s="41">
        <v>3</v>
      </c>
      <c r="U1102" s="42">
        <v>1320</v>
      </c>
      <c r="V1102" s="41">
        <v>133.75</v>
      </c>
      <c r="W1102" s="43">
        <v>35</v>
      </c>
    </row>
    <row r="1103" spans="18:23">
      <c r="R1103" s="48" t="s">
        <v>654</v>
      </c>
      <c r="S1103" s="49">
        <v>2</v>
      </c>
      <c r="T1103" s="49">
        <v>4</v>
      </c>
      <c r="U1103" s="50">
        <v>1320</v>
      </c>
      <c r="V1103" s="49">
        <v>132.78</v>
      </c>
      <c r="W1103" s="51">
        <v>35</v>
      </c>
    </row>
    <row r="1107" spans="18:23">
      <c r="R1107" s="5" t="s">
        <v>886</v>
      </c>
    </row>
    <row r="1108" spans="18:23">
      <c r="R1108" s="429" t="s">
        <v>887</v>
      </c>
      <c r="S1108" s="430"/>
      <c r="T1108" s="430"/>
      <c r="U1108" s="430"/>
      <c r="V1108" s="430"/>
      <c r="W1108" s="431"/>
    </row>
    <row r="1109" spans="18:23">
      <c r="R1109" s="15" t="s">
        <v>497</v>
      </c>
      <c r="S1109" s="16" t="s">
        <v>498</v>
      </c>
      <c r="T1109" s="16" t="s">
        <v>483</v>
      </c>
      <c r="U1109" s="16" t="s">
        <v>499</v>
      </c>
      <c r="V1109" s="16" t="s">
        <v>500</v>
      </c>
      <c r="W1109" s="17" t="s">
        <v>501</v>
      </c>
    </row>
    <row r="1110" spans="18:23">
      <c r="R1110" s="40" t="s">
        <v>508</v>
      </c>
      <c r="S1110" s="41">
        <v>2</v>
      </c>
      <c r="T1110" s="41">
        <v>2</v>
      </c>
      <c r="U1110" s="42">
        <v>1357</v>
      </c>
      <c r="V1110" s="41">
        <v>125.74</v>
      </c>
      <c r="W1110" s="43">
        <v>40</v>
      </c>
    </row>
    <row r="1111" spans="18:23">
      <c r="R1111" s="40" t="s">
        <v>508</v>
      </c>
      <c r="S1111" s="41">
        <v>2</v>
      </c>
      <c r="T1111" s="41">
        <v>3</v>
      </c>
      <c r="U1111" s="42">
        <v>1357</v>
      </c>
      <c r="V1111" s="41">
        <v>126.18</v>
      </c>
      <c r="W1111" s="43">
        <v>40</v>
      </c>
    </row>
    <row r="1112" spans="18:23">
      <c r="R1112" s="40" t="s">
        <v>508</v>
      </c>
      <c r="S1112" s="41">
        <v>2</v>
      </c>
      <c r="T1112" s="41">
        <v>4</v>
      </c>
      <c r="U1112" s="42">
        <v>1357</v>
      </c>
      <c r="V1112" s="41">
        <v>125.26</v>
      </c>
      <c r="W1112" s="43">
        <v>40</v>
      </c>
    </row>
    <row r="1113" spans="18:23">
      <c r="R1113" s="40" t="s">
        <v>524</v>
      </c>
      <c r="S1113" s="41">
        <v>4</v>
      </c>
      <c r="T1113" s="41">
        <v>2</v>
      </c>
      <c r="U1113" s="42">
        <v>1507</v>
      </c>
      <c r="V1113" s="41">
        <v>121.89</v>
      </c>
      <c r="W1113" s="43">
        <v>40</v>
      </c>
    </row>
    <row r="1114" spans="18:23">
      <c r="R1114" s="40" t="s">
        <v>524</v>
      </c>
      <c r="S1114" s="41">
        <v>4</v>
      </c>
      <c r="T1114" s="41">
        <v>3</v>
      </c>
      <c r="U1114" s="42">
        <v>1507</v>
      </c>
      <c r="V1114" s="41">
        <v>124.77</v>
      </c>
      <c r="W1114" s="43">
        <v>40</v>
      </c>
    </row>
    <row r="1115" spans="18:23">
      <c r="R1115" s="40" t="s">
        <v>524</v>
      </c>
      <c r="S1115" s="41">
        <v>4</v>
      </c>
      <c r="T1115" s="41">
        <v>4</v>
      </c>
      <c r="U1115" s="42">
        <v>1507</v>
      </c>
      <c r="V1115" s="41">
        <v>122.09</v>
      </c>
      <c r="W1115" s="43">
        <v>40</v>
      </c>
    </row>
    <row r="1116" spans="18:23">
      <c r="R1116" s="40" t="s">
        <v>538</v>
      </c>
      <c r="S1116" s="41">
        <v>2</v>
      </c>
      <c r="T1116" s="41">
        <v>2</v>
      </c>
      <c r="U1116" s="42">
        <v>1231</v>
      </c>
      <c r="V1116" s="41">
        <v>125.74</v>
      </c>
      <c r="W1116" s="43">
        <v>30</v>
      </c>
    </row>
    <row r="1117" spans="18:23">
      <c r="R1117" s="40" t="s">
        <v>538</v>
      </c>
      <c r="S1117" s="41">
        <v>2</v>
      </c>
      <c r="T1117" s="41">
        <v>3</v>
      </c>
      <c r="U1117" s="42">
        <v>1231</v>
      </c>
      <c r="V1117" s="41">
        <v>126.18</v>
      </c>
      <c r="W1117" s="43">
        <v>30</v>
      </c>
    </row>
    <row r="1118" spans="18:23">
      <c r="R1118" s="40" t="s">
        <v>538</v>
      </c>
      <c r="S1118" s="41">
        <v>2</v>
      </c>
      <c r="T1118" s="41">
        <v>4</v>
      </c>
      <c r="U1118" s="42">
        <v>1231</v>
      </c>
      <c r="V1118" s="41">
        <v>125.26</v>
      </c>
      <c r="W1118" s="43">
        <v>30</v>
      </c>
    </row>
    <row r="1119" spans="18:23">
      <c r="R1119" s="40" t="s">
        <v>555</v>
      </c>
      <c r="S1119" s="41">
        <v>2</v>
      </c>
      <c r="T1119" s="41">
        <v>2</v>
      </c>
      <c r="U1119" s="42">
        <v>1284</v>
      </c>
      <c r="V1119" s="41">
        <v>125.74</v>
      </c>
      <c r="W1119" s="43">
        <v>10</v>
      </c>
    </row>
    <row r="1120" spans="18:23">
      <c r="R1120" s="40" t="s">
        <v>555</v>
      </c>
      <c r="S1120" s="41">
        <v>2</v>
      </c>
      <c r="T1120" s="41">
        <v>3</v>
      </c>
      <c r="U1120" s="42">
        <v>1284</v>
      </c>
      <c r="V1120" s="41">
        <v>126.18</v>
      </c>
      <c r="W1120" s="43">
        <v>10</v>
      </c>
    </row>
    <row r="1121" spans="18:23">
      <c r="R1121" s="40" t="s">
        <v>555</v>
      </c>
      <c r="S1121" s="41">
        <v>2</v>
      </c>
      <c r="T1121" s="41">
        <v>4</v>
      </c>
      <c r="U1121" s="42">
        <v>1284</v>
      </c>
      <c r="V1121" s="41">
        <v>125.26</v>
      </c>
      <c r="W1121" s="43">
        <v>10</v>
      </c>
    </row>
    <row r="1122" spans="18:23">
      <c r="R1122" s="40" t="s">
        <v>570</v>
      </c>
      <c r="S1122" s="41">
        <v>3</v>
      </c>
      <c r="T1122" s="41">
        <v>2</v>
      </c>
      <c r="U1122" s="42">
        <v>1479</v>
      </c>
      <c r="V1122" s="41">
        <v>123.71</v>
      </c>
      <c r="W1122" s="43">
        <v>40</v>
      </c>
    </row>
    <row r="1123" spans="18:23">
      <c r="R1123" s="40" t="s">
        <v>570</v>
      </c>
      <c r="S1123" s="41">
        <v>3</v>
      </c>
      <c r="T1123" s="41">
        <v>3</v>
      </c>
      <c r="U1123" s="42">
        <v>1479</v>
      </c>
      <c r="V1123" s="41">
        <v>125.84</v>
      </c>
      <c r="W1123" s="43">
        <v>40</v>
      </c>
    </row>
    <row r="1124" spans="18:23">
      <c r="R1124" s="40" t="s">
        <v>570</v>
      </c>
      <c r="S1124" s="41">
        <v>3</v>
      </c>
      <c r="T1124" s="41">
        <v>4</v>
      </c>
      <c r="U1124" s="42">
        <v>1479</v>
      </c>
      <c r="V1124" s="41">
        <v>124.2</v>
      </c>
      <c r="W1124" s="43">
        <v>40</v>
      </c>
    </row>
    <row r="1125" spans="18:23">
      <c r="R1125" s="40" t="s">
        <v>595</v>
      </c>
      <c r="S1125" s="41">
        <v>3</v>
      </c>
      <c r="T1125" s="41">
        <v>2</v>
      </c>
      <c r="U1125" s="42">
        <v>1397</v>
      </c>
      <c r="V1125" s="41">
        <v>123.71</v>
      </c>
      <c r="W1125" s="43">
        <v>30</v>
      </c>
    </row>
    <row r="1126" spans="18:23">
      <c r="R1126" s="40" t="s">
        <v>595</v>
      </c>
      <c r="S1126" s="41">
        <v>3</v>
      </c>
      <c r="T1126" s="41">
        <v>3</v>
      </c>
      <c r="U1126" s="42">
        <v>1397</v>
      </c>
      <c r="V1126" s="41">
        <v>125.84</v>
      </c>
      <c r="W1126" s="43">
        <v>30</v>
      </c>
    </row>
    <row r="1127" spans="18:23">
      <c r="R1127" s="40" t="s">
        <v>595</v>
      </c>
      <c r="S1127" s="41">
        <v>3</v>
      </c>
      <c r="T1127" s="41">
        <v>4</v>
      </c>
      <c r="U1127" s="42">
        <v>1397</v>
      </c>
      <c r="V1127" s="41">
        <v>124.2</v>
      </c>
      <c r="W1127" s="43">
        <v>30</v>
      </c>
    </row>
    <row r="1128" spans="18:23">
      <c r="R1128" s="40" t="s">
        <v>616</v>
      </c>
      <c r="S1128" s="41">
        <v>2</v>
      </c>
      <c r="T1128" s="41">
        <v>2</v>
      </c>
      <c r="U1128" s="42">
        <v>1144</v>
      </c>
      <c r="V1128" s="41">
        <v>125.74</v>
      </c>
      <c r="W1128" s="43">
        <v>10</v>
      </c>
    </row>
    <row r="1129" spans="18:23">
      <c r="R1129" s="40" t="s">
        <v>616</v>
      </c>
      <c r="S1129" s="41">
        <v>2</v>
      </c>
      <c r="T1129" s="41">
        <v>3</v>
      </c>
      <c r="U1129" s="42">
        <v>1144</v>
      </c>
      <c r="V1129" s="41">
        <v>126.18</v>
      </c>
      <c r="W1129" s="43">
        <v>10</v>
      </c>
    </row>
    <row r="1130" spans="18:23">
      <c r="R1130" s="40" t="s">
        <v>616</v>
      </c>
      <c r="S1130" s="41">
        <v>2</v>
      </c>
      <c r="T1130" s="41">
        <v>4</v>
      </c>
      <c r="U1130" s="42">
        <v>1144</v>
      </c>
      <c r="V1130" s="41">
        <v>125.26</v>
      </c>
      <c r="W1130" s="43">
        <v>10</v>
      </c>
    </row>
    <row r="1131" spans="18:23">
      <c r="R1131" s="40" t="s">
        <v>627</v>
      </c>
      <c r="S1131" s="41">
        <v>4</v>
      </c>
      <c r="T1131" s="41">
        <v>2</v>
      </c>
      <c r="U1131" s="42">
        <v>1545</v>
      </c>
      <c r="V1131" s="41">
        <v>121.89</v>
      </c>
      <c r="W1131" s="43">
        <v>10</v>
      </c>
    </row>
    <row r="1132" spans="18:23">
      <c r="R1132" s="40" t="s">
        <v>627</v>
      </c>
      <c r="S1132" s="41">
        <v>4</v>
      </c>
      <c r="T1132" s="41">
        <v>3</v>
      </c>
      <c r="U1132" s="42">
        <v>1545</v>
      </c>
      <c r="V1132" s="41">
        <v>124.77</v>
      </c>
      <c r="W1132" s="43">
        <v>10</v>
      </c>
    </row>
    <row r="1133" spans="18:23">
      <c r="R1133" s="40" t="s">
        <v>627</v>
      </c>
      <c r="S1133" s="41">
        <v>4</v>
      </c>
      <c r="T1133" s="41">
        <v>4</v>
      </c>
      <c r="U1133" s="42">
        <v>1545</v>
      </c>
      <c r="V1133" s="41">
        <v>122.09</v>
      </c>
      <c r="W1133" s="43">
        <v>10</v>
      </c>
    </row>
    <row r="1134" spans="18:23">
      <c r="R1134" s="40" t="s">
        <v>636</v>
      </c>
      <c r="S1134" s="41">
        <v>3</v>
      </c>
      <c r="T1134" s="41">
        <v>2</v>
      </c>
      <c r="U1134" s="42">
        <v>1400</v>
      </c>
      <c r="V1134" s="41">
        <v>123.71</v>
      </c>
      <c r="W1134" s="43">
        <v>30</v>
      </c>
    </row>
    <row r="1135" spans="18:23">
      <c r="R1135" s="40" t="s">
        <v>636</v>
      </c>
      <c r="S1135" s="41">
        <v>3</v>
      </c>
      <c r="T1135" s="41">
        <v>3</v>
      </c>
      <c r="U1135" s="42">
        <v>1400</v>
      </c>
      <c r="V1135" s="41">
        <v>125.84</v>
      </c>
      <c r="W1135" s="43">
        <v>30</v>
      </c>
    </row>
    <row r="1136" spans="18:23">
      <c r="R1136" s="40" t="s">
        <v>636</v>
      </c>
      <c r="S1136" s="41">
        <v>3</v>
      </c>
      <c r="T1136" s="41">
        <v>4</v>
      </c>
      <c r="U1136" s="42">
        <v>1400</v>
      </c>
      <c r="V1136" s="41">
        <v>124.2</v>
      </c>
      <c r="W1136" s="43">
        <v>30</v>
      </c>
    </row>
    <row r="1137" spans="18:23">
      <c r="R1137" s="40" t="s">
        <v>644</v>
      </c>
      <c r="S1137" s="41">
        <v>2</v>
      </c>
      <c r="T1137" s="41">
        <v>2</v>
      </c>
      <c r="U1137" s="42">
        <v>1144</v>
      </c>
      <c r="V1137" s="41">
        <v>125.74</v>
      </c>
      <c r="W1137" s="43">
        <v>10</v>
      </c>
    </row>
    <row r="1138" spans="18:23">
      <c r="R1138" s="40" t="s">
        <v>644</v>
      </c>
      <c r="S1138" s="41">
        <v>2</v>
      </c>
      <c r="T1138" s="41">
        <v>3</v>
      </c>
      <c r="U1138" s="42">
        <v>1144</v>
      </c>
      <c r="V1138" s="41">
        <v>126.18</v>
      </c>
      <c r="W1138" s="43">
        <v>10</v>
      </c>
    </row>
    <row r="1139" spans="18:23">
      <c r="R1139" s="40" t="s">
        <v>644</v>
      </c>
      <c r="S1139" s="41">
        <v>2</v>
      </c>
      <c r="T1139" s="41">
        <v>4</v>
      </c>
      <c r="U1139" s="42">
        <v>1144</v>
      </c>
      <c r="V1139" s="41">
        <v>125.26</v>
      </c>
      <c r="W1139" s="43">
        <v>10</v>
      </c>
    </row>
    <row r="1140" spans="18:23">
      <c r="R1140" s="40" t="s">
        <v>654</v>
      </c>
      <c r="S1140" s="41">
        <v>2</v>
      </c>
      <c r="T1140" s="41">
        <v>2</v>
      </c>
      <c r="U1140" s="42">
        <v>1320</v>
      </c>
      <c r="V1140" s="41">
        <v>125.74</v>
      </c>
      <c r="W1140" s="43">
        <v>35</v>
      </c>
    </row>
    <row r="1141" spans="18:23">
      <c r="R1141" s="40" t="s">
        <v>654</v>
      </c>
      <c r="S1141" s="41">
        <v>2</v>
      </c>
      <c r="T1141" s="41">
        <v>3</v>
      </c>
      <c r="U1141" s="42">
        <v>1320</v>
      </c>
      <c r="V1141" s="41">
        <v>126.18</v>
      </c>
      <c r="W1141" s="43">
        <v>35</v>
      </c>
    </row>
    <row r="1142" spans="18:23">
      <c r="R1142" s="48" t="s">
        <v>654</v>
      </c>
      <c r="S1142" s="49">
        <v>2</v>
      </c>
      <c r="T1142" s="49">
        <v>4</v>
      </c>
      <c r="U1142" s="50">
        <v>1320</v>
      </c>
      <c r="V1142" s="49">
        <v>125.26</v>
      </c>
      <c r="W1142" s="51">
        <v>35</v>
      </c>
    </row>
  </sheetData>
  <sheetProtection algorithmName="SHA-512" hashValue="uCVDBtyBVkqWCp27JU2Tn2uvBtXcJ/Gm6ye3dDj8S3JDnA//Pa4xWbR0SKqInI02ig8IC3/yXEGbMv9TqGL/jA==" saltValue="ToJgPhFGmBI+UZ7Fc05RqA==" spinCount="100000" sheet="1" objects="1" scenarios="1"/>
  <autoFilter ref="A2:G62" xr:uid="{DB72868C-3E76-4931-97E5-641656B071CB}"/>
  <sortState xmlns:xlrd2="http://schemas.microsoft.com/office/spreadsheetml/2017/richdata2" ref="J3:N180">
    <sortCondition ref="J3:J180"/>
    <sortCondition ref="K3:K180"/>
    <sortCondition ref="L3:L180"/>
  </sortState>
  <mergeCells count="32">
    <mergeCell ref="R845:W845"/>
    <mergeCell ref="R1108:W1108"/>
    <mergeCell ref="R1033:W1033"/>
    <mergeCell ref="R989:W989"/>
    <mergeCell ref="R946:W946"/>
    <mergeCell ref="R904:W904"/>
    <mergeCell ref="J81:N81"/>
    <mergeCell ref="A1:G1"/>
    <mergeCell ref="R2:W2"/>
    <mergeCell ref="J2:N2"/>
    <mergeCell ref="J36:N36"/>
    <mergeCell ref="J61:N61"/>
    <mergeCell ref="R47:W47"/>
    <mergeCell ref="R64:W64"/>
    <mergeCell ref="R708:W708"/>
    <mergeCell ref="R751:W751"/>
    <mergeCell ref="R794:W794"/>
    <mergeCell ref="R407:W407"/>
    <mergeCell ref="R450:W450"/>
    <mergeCell ref="R493:W493"/>
    <mergeCell ref="R536:W536"/>
    <mergeCell ref="R579:W579"/>
    <mergeCell ref="R87:W87"/>
    <mergeCell ref="R146:W146"/>
    <mergeCell ref="R169:W169"/>
    <mergeCell ref="R622:W622"/>
    <mergeCell ref="R665:W665"/>
    <mergeCell ref="R192:W192"/>
    <mergeCell ref="R235:W235"/>
    <mergeCell ref="R278:W278"/>
    <mergeCell ref="R321:W321"/>
    <mergeCell ref="R364:W364"/>
  </mergeCells>
  <phoneticPr fontId="23" type="noConversion"/>
  <conditionalFormatting sqref="A66:A69">
    <cfRule type="duplicateValues" dxfId="103" priority="3"/>
  </conditionalFormatting>
  <conditionalFormatting sqref="A1:A64 A78:A1048576">
    <cfRule type="duplicateValues" dxfId="102" priority="30"/>
  </conditionalFormatting>
  <conditionalFormatting sqref="A65">
    <cfRule type="duplicateValues" dxfId="101" priority="2"/>
  </conditionalFormatting>
  <conditionalFormatting sqref="A70:A77">
    <cfRule type="duplicateValues" dxfId="100" priority="1"/>
  </conditionalFormatting>
  <pageMargins left="0.7" right="0.7" top="0.75" bottom="0.75" header="0.3" footer="0.3"/>
  <pageSetup orientation="portrait" horizontalDpi="1200" verticalDpi="1200" r:id="rId1"/>
  <legacyDrawing r:id="rId2"/>
  <tableParts count="25">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295B1-5374-4578-8C27-9CF1542D3950}">
  <sheetPr codeName="Sheet2"/>
  <dimension ref="A1:AC128"/>
  <sheetViews>
    <sheetView topLeftCell="A94" workbookViewId="0">
      <selection activeCell="A38" sqref="A2:A38"/>
    </sheetView>
  </sheetViews>
  <sheetFormatPr defaultRowHeight="12.95"/>
  <cols>
    <col min="1" max="1" width="48.33203125" style="3" customWidth="1"/>
    <col min="2" max="2" width="42.1640625" style="3" customWidth="1"/>
    <col min="3" max="3" width="10.5" style="3" bestFit="1" customWidth="1"/>
    <col min="4" max="4" width="8.83203125" style="3" bestFit="1" customWidth="1"/>
    <col min="5" max="6" width="12.6640625" style="3" bestFit="1" customWidth="1"/>
    <col min="7" max="7" width="8.83203125" style="3" customWidth="1"/>
    <col min="8" max="8" width="8.83203125" style="3"/>
  </cols>
  <sheetData>
    <row r="1" spans="1:29" s="4" customFormat="1">
      <c r="A1" s="4" t="s">
        <v>888</v>
      </c>
      <c r="B1" s="4" t="s">
        <v>889</v>
      </c>
      <c r="C1" s="4" t="s">
        <v>890</v>
      </c>
      <c r="D1" s="4" t="s">
        <v>122</v>
      </c>
      <c r="E1" s="4" t="s">
        <v>891</v>
      </c>
      <c r="F1" s="4" t="s">
        <v>892</v>
      </c>
      <c r="G1" s="4" t="s">
        <v>893</v>
      </c>
    </row>
    <row r="2" spans="1:29">
      <c r="A2" s="3" t="s">
        <v>894</v>
      </c>
      <c r="B2" s="3" t="s">
        <v>895</v>
      </c>
      <c r="C2" s="3" t="s">
        <v>896</v>
      </c>
      <c r="D2" s="3" t="s">
        <v>897</v>
      </c>
      <c r="E2" s="77">
        <v>350</v>
      </c>
      <c r="F2" s="77" t="s">
        <v>896</v>
      </c>
    </row>
    <row r="3" spans="1:29">
      <c r="A3" s="3" t="s">
        <v>894</v>
      </c>
      <c r="B3" s="3" t="s">
        <v>898</v>
      </c>
      <c r="C3" s="3" t="s">
        <v>896</v>
      </c>
      <c r="D3" s="3" t="s">
        <v>899</v>
      </c>
      <c r="E3" s="77">
        <v>300</v>
      </c>
      <c r="F3" s="77" t="s">
        <v>896</v>
      </c>
    </row>
    <row r="4" spans="1:29">
      <c r="A4" s="3" t="s">
        <v>894</v>
      </c>
      <c r="B4" s="3" t="s">
        <v>900</v>
      </c>
      <c r="C4" s="3" t="s">
        <v>896</v>
      </c>
      <c r="D4" s="3" t="s">
        <v>899</v>
      </c>
      <c r="E4" s="77">
        <v>500</v>
      </c>
      <c r="F4" s="77" t="s">
        <v>896</v>
      </c>
    </row>
    <row r="5" spans="1:29">
      <c r="A5" s="3" t="s">
        <v>894</v>
      </c>
      <c r="B5" s="3" t="s">
        <v>901</v>
      </c>
      <c r="C5" s="3" t="s">
        <v>896</v>
      </c>
      <c r="D5" s="3" t="s">
        <v>902</v>
      </c>
      <c r="E5" s="77">
        <v>25</v>
      </c>
      <c r="F5" s="77" t="s">
        <v>896</v>
      </c>
      <c r="G5" s="3" t="s">
        <v>903</v>
      </c>
    </row>
    <row r="6" spans="1:29">
      <c r="A6" s="3" t="s">
        <v>894</v>
      </c>
      <c r="B6" s="3" t="s">
        <v>904</v>
      </c>
      <c r="C6" s="3" t="s">
        <v>896</v>
      </c>
      <c r="D6" s="3" t="s">
        <v>902</v>
      </c>
      <c r="E6" s="77">
        <v>41</v>
      </c>
      <c r="F6" s="77" t="s">
        <v>896</v>
      </c>
    </row>
    <row r="7" spans="1:29">
      <c r="A7" s="3" t="s">
        <v>894</v>
      </c>
      <c r="B7" s="3" t="s">
        <v>905</v>
      </c>
      <c r="C7" s="3" t="s">
        <v>896</v>
      </c>
      <c r="D7" s="3" t="s">
        <v>902</v>
      </c>
      <c r="E7" s="77">
        <v>42</v>
      </c>
      <c r="F7" s="77" t="s">
        <v>896</v>
      </c>
    </row>
    <row r="8" spans="1:29">
      <c r="A8" s="3" t="s">
        <v>894</v>
      </c>
      <c r="B8" s="3" t="s">
        <v>906</v>
      </c>
      <c r="C8" s="3" t="s">
        <v>896</v>
      </c>
      <c r="D8" s="3" t="s">
        <v>907</v>
      </c>
      <c r="E8" s="77">
        <v>100</v>
      </c>
      <c r="F8" s="77" t="s">
        <v>896</v>
      </c>
      <c r="G8" s="3" t="s">
        <v>908</v>
      </c>
    </row>
    <row r="9" spans="1:29">
      <c r="A9" s="3" t="s">
        <v>894</v>
      </c>
      <c r="B9" s="3" t="s">
        <v>909</v>
      </c>
      <c r="C9" s="3">
        <f>(2+10)/2</f>
        <v>6</v>
      </c>
      <c r="D9" s="3" t="s">
        <v>897</v>
      </c>
      <c r="E9" s="77">
        <f t="shared" ref="E9:E14" si="0">(90*C9)</f>
        <v>540</v>
      </c>
      <c r="F9" s="77" t="s">
        <v>896</v>
      </c>
      <c r="G9" s="31" t="s">
        <v>910</v>
      </c>
    </row>
    <row r="10" spans="1:29">
      <c r="A10" s="3" t="s">
        <v>894</v>
      </c>
      <c r="B10" s="3" t="s">
        <v>911</v>
      </c>
      <c r="C10" s="3">
        <f>(11+15)/2</f>
        <v>13</v>
      </c>
      <c r="D10" s="3" t="s">
        <v>897</v>
      </c>
      <c r="E10" s="77">
        <f t="shared" si="0"/>
        <v>1170</v>
      </c>
      <c r="F10" s="77" t="s">
        <v>896</v>
      </c>
    </row>
    <row r="11" spans="1:29">
      <c r="A11" s="3" t="s">
        <v>894</v>
      </c>
      <c r="B11" s="3" t="s">
        <v>912</v>
      </c>
      <c r="C11" s="3">
        <f>(16+20)/2</f>
        <v>18</v>
      </c>
      <c r="D11" s="3" t="s">
        <v>897</v>
      </c>
      <c r="E11" s="77">
        <f t="shared" si="0"/>
        <v>1620</v>
      </c>
      <c r="F11" s="77" t="s">
        <v>896</v>
      </c>
      <c r="K11" s="3"/>
      <c r="L11" s="3"/>
      <c r="M11" s="3"/>
      <c r="N11" s="3"/>
      <c r="O11" s="3"/>
      <c r="P11" s="3"/>
      <c r="Q11" s="3"/>
      <c r="R11" s="3"/>
      <c r="S11" s="3"/>
      <c r="T11" s="3"/>
      <c r="U11" s="3"/>
      <c r="V11" s="3"/>
      <c r="W11" s="3"/>
      <c r="X11" s="3"/>
      <c r="Y11" s="3"/>
      <c r="Z11" s="3"/>
      <c r="AA11" s="3"/>
      <c r="AB11" s="3"/>
      <c r="AC11" s="4"/>
    </row>
    <row r="12" spans="1:29">
      <c r="A12" s="3" t="s">
        <v>894</v>
      </c>
      <c r="B12" s="3" t="s">
        <v>913</v>
      </c>
      <c r="C12" s="3">
        <f>(21+25)/2</f>
        <v>23</v>
      </c>
      <c r="D12" s="3" t="s">
        <v>897</v>
      </c>
      <c r="E12" s="77">
        <f t="shared" si="0"/>
        <v>2070</v>
      </c>
      <c r="F12" s="77" t="s">
        <v>896</v>
      </c>
    </row>
    <row r="13" spans="1:29">
      <c r="A13" s="3" t="s">
        <v>894</v>
      </c>
      <c r="B13" s="3" t="s">
        <v>914</v>
      </c>
      <c r="C13" s="3">
        <f>(26+30)/2</f>
        <v>28</v>
      </c>
      <c r="D13" s="3" t="s">
        <v>897</v>
      </c>
      <c r="E13" s="77">
        <f t="shared" si="0"/>
        <v>2520</v>
      </c>
      <c r="F13" s="77" t="s">
        <v>896</v>
      </c>
    </row>
    <row r="14" spans="1:29">
      <c r="A14" s="3" t="s">
        <v>894</v>
      </c>
      <c r="B14" s="3" t="s">
        <v>915</v>
      </c>
      <c r="C14" s="3">
        <f>(31+36)/2</f>
        <v>33.5</v>
      </c>
      <c r="D14" s="3" t="s">
        <v>897</v>
      </c>
      <c r="E14" s="77">
        <f t="shared" si="0"/>
        <v>3015</v>
      </c>
      <c r="F14" s="77" t="s">
        <v>896</v>
      </c>
    </row>
    <row r="15" spans="1:29">
      <c r="A15" s="3" t="s">
        <v>894</v>
      </c>
      <c r="B15" s="3" t="s">
        <v>916</v>
      </c>
      <c r="C15" s="3" t="s">
        <v>896</v>
      </c>
      <c r="D15" s="3" t="s">
        <v>902</v>
      </c>
      <c r="E15" s="77">
        <v>64</v>
      </c>
      <c r="F15" s="77" t="s">
        <v>896</v>
      </c>
    </row>
    <row r="16" spans="1:29">
      <c r="A16" s="3" t="s">
        <v>894</v>
      </c>
      <c r="B16" s="3" t="s">
        <v>917</v>
      </c>
      <c r="C16" s="3" t="s">
        <v>896</v>
      </c>
      <c r="D16" s="3" t="s">
        <v>902</v>
      </c>
      <c r="E16" s="77">
        <v>76</v>
      </c>
      <c r="F16" s="77" t="s">
        <v>896</v>
      </c>
      <c r="K16" s="3"/>
    </row>
    <row r="17" spans="1:7">
      <c r="A17" s="3" t="s">
        <v>894</v>
      </c>
      <c r="B17" s="3" t="s">
        <v>918</v>
      </c>
      <c r="C17" s="3" t="s">
        <v>896</v>
      </c>
      <c r="D17" s="3" t="s">
        <v>902</v>
      </c>
      <c r="E17" s="77">
        <v>80</v>
      </c>
      <c r="F17" s="77" t="s">
        <v>896</v>
      </c>
    </row>
    <row r="18" spans="1:7">
      <c r="A18" s="3" t="s">
        <v>894</v>
      </c>
      <c r="B18" s="3" t="s">
        <v>919</v>
      </c>
      <c r="C18" s="3" t="s">
        <v>896</v>
      </c>
      <c r="D18" s="3" t="s">
        <v>902</v>
      </c>
      <c r="E18" s="77">
        <f>AVERAGE(E17,E19)</f>
        <v>87.5</v>
      </c>
      <c r="F18" s="77" t="s">
        <v>896</v>
      </c>
      <c r="G18" s="3" t="s">
        <v>920</v>
      </c>
    </row>
    <row r="19" spans="1:7">
      <c r="A19" s="3" t="s">
        <v>894</v>
      </c>
      <c r="B19" s="3" t="s">
        <v>921</v>
      </c>
      <c r="C19" s="3" t="s">
        <v>896</v>
      </c>
      <c r="D19" s="3" t="s">
        <v>902</v>
      </c>
      <c r="E19" s="77">
        <v>95</v>
      </c>
      <c r="F19" s="77" t="s">
        <v>896</v>
      </c>
    </row>
    <row r="20" spans="1:7">
      <c r="A20" s="3" t="s">
        <v>894</v>
      </c>
      <c r="B20" s="3" t="s">
        <v>922</v>
      </c>
      <c r="C20" s="3" t="s">
        <v>896</v>
      </c>
      <c r="D20" s="3" t="s">
        <v>902</v>
      </c>
      <c r="E20" s="77">
        <v>113</v>
      </c>
      <c r="F20" s="77" t="s">
        <v>896</v>
      </c>
    </row>
    <row r="21" spans="1:7">
      <c r="A21" s="3" t="s">
        <v>894</v>
      </c>
      <c r="B21" s="3" t="s">
        <v>923</v>
      </c>
      <c r="C21" s="3">
        <f>(5+15)/2</f>
        <v>10</v>
      </c>
      <c r="D21" s="3" t="s">
        <v>924</v>
      </c>
      <c r="E21" s="77">
        <v>29</v>
      </c>
      <c r="F21" s="77">
        <f t="shared" ref="F21:F30" si="1">C21*E21</f>
        <v>290</v>
      </c>
    </row>
    <row r="22" spans="1:7">
      <c r="A22" s="3" t="s">
        <v>894</v>
      </c>
      <c r="B22" s="3" t="s">
        <v>925</v>
      </c>
      <c r="C22" s="3">
        <f>(16+25)/2</f>
        <v>20.5</v>
      </c>
      <c r="D22" s="3" t="s">
        <v>924</v>
      </c>
      <c r="E22" s="77">
        <v>29</v>
      </c>
      <c r="F22" s="77">
        <f t="shared" si="1"/>
        <v>594.5</v>
      </c>
    </row>
    <row r="23" spans="1:7">
      <c r="A23" s="3" t="s">
        <v>894</v>
      </c>
      <c r="B23" s="3" t="s">
        <v>926</v>
      </c>
      <c r="C23" s="3">
        <f>(26+35)/2</f>
        <v>30.5</v>
      </c>
      <c r="D23" s="3" t="s">
        <v>924</v>
      </c>
      <c r="E23" s="77">
        <v>29</v>
      </c>
      <c r="F23" s="77">
        <f t="shared" si="1"/>
        <v>884.5</v>
      </c>
    </row>
    <row r="24" spans="1:7">
      <c r="A24" s="3" t="s">
        <v>894</v>
      </c>
      <c r="B24" s="3" t="s">
        <v>927</v>
      </c>
      <c r="C24" s="3">
        <f>(36+45)/2</f>
        <v>40.5</v>
      </c>
      <c r="D24" s="3" t="s">
        <v>924</v>
      </c>
      <c r="E24" s="77">
        <v>29</v>
      </c>
      <c r="F24" s="77">
        <f t="shared" si="1"/>
        <v>1174.5</v>
      </c>
    </row>
    <row r="25" spans="1:7">
      <c r="A25" s="3" t="s">
        <v>894</v>
      </c>
      <c r="B25" s="3" t="s">
        <v>928</v>
      </c>
      <c r="C25" s="3">
        <f>(46+60)/2</f>
        <v>53</v>
      </c>
      <c r="D25" s="3" t="s">
        <v>924</v>
      </c>
      <c r="E25" s="77">
        <v>29</v>
      </c>
      <c r="F25" s="77">
        <f t="shared" si="1"/>
        <v>1537</v>
      </c>
    </row>
    <row r="26" spans="1:7">
      <c r="A26" s="3" t="s">
        <v>894</v>
      </c>
      <c r="B26" s="3" t="s">
        <v>929</v>
      </c>
      <c r="C26" s="3">
        <f>(61+80)/2</f>
        <v>70.5</v>
      </c>
      <c r="D26" s="3" t="s">
        <v>924</v>
      </c>
      <c r="E26" s="77">
        <v>29</v>
      </c>
      <c r="F26" s="77">
        <f t="shared" si="1"/>
        <v>2044.5</v>
      </c>
    </row>
    <row r="27" spans="1:7">
      <c r="A27" s="3" t="s">
        <v>894</v>
      </c>
      <c r="B27" s="3" t="s">
        <v>930</v>
      </c>
      <c r="C27" s="3">
        <f>(5+15)/2</f>
        <v>10</v>
      </c>
      <c r="D27" s="3" t="s">
        <v>924</v>
      </c>
      <c r="E27" s="77">
        <v>65</v>
      </c>
      <c r="F27" s="77">
        <f t="shared" si="1"/>
        <v>650</v>
      </c>
    </row>
    <row r="28" spans="1:7">
      <c r="A28" s="3" t="s">
        <v>894</v>
      </c>
      <c r="B28" s="3" t="s">
        <v>931</v>
      </c>
      <c r="C28" s="3">
        <f>(16+25)/2</f>
        <v>20.5</v>
      </c>
      <c r="D28" s="3" t="s">
        <v>924</v>
      </c>
      <c r="E28" s="77">
        <v>65</v>
      </c>
      <c r="F28" s="77">
        <f t="shared" si="1"/>
        <v>1332.5</v>
      </c>
    </row>
    <row r="29" spans="1:7">
      <c r="A29" s="3" t="s">
        <v>894</v>
      </c>
      <c r="B29" s="3" t="s">
        <v>932</v>
      </c>
      <c r="C29" s="3">
        <f>(26+35)/2</f>
        <v>30.5</v>
      </c>
      <c r="D29" s="3" t="s">
        <v>924</v>
      </c>
      <c r="E29" s="77">
        <v>65</v>
      </c>
      <c r="F29" s="77">
        <f t="shared" si="1"/>
        <v>1982.5</v>
      </c>
    </row>
    <row r="30" spans="1:7">
      <c r="A30" s="3" t="s">
        <v>894</v>
      </c>
      <c r="B30" s="3" t="s">
        <v>933</v>
      </c>
      <c r="C30" s="3">
        <f>(36+45)/2</f>
        <v>40.5</v>
      </c>
      <c r="D30" s="3" t="s">
        <v>924</v>
      </c>
      <c r="E30" s="77">
        <v>65</v>
      </c>
      <c r="F30" s="77">
        <f t="shared" si="1"/>
        <v>2632.5</v>
      </c>
    </row>
    <row r="31" spans="1:7">
      <c r="A31" s="3" t="s">
        <v>894</v>
      </c>
      <c r="B31" s="3" t="s">
        <v>934</v>
      </c>
      <c r="C31" s="3">
        <f>(50+100)/2</f>
        <v>75</v>
      </c>
      <c r="D31" s="3" t="s">
        <v>935</v>
      </c>
      <c r="E31" s="77">
        <v>8</v>
      </c>
      <c r="F31" s="77">
        <f t="shared" ref="F31:F38" si="2">C31*E31</f>
        <v>600</v>
      </c>
    </row>
    <row r="32" spans="1:7">
      <c r="A32" s="3" t="s">
        <v>894</v>
      </c>
      <c r="B32" s="3" t="s">
        <v>936</v>
      </c>
      <c r="C32" s="3">
        <f>(101+200)/2</f>
        <v>150.5</v>
      </c>
      <c r="D32" s="3" t="s">
        <v>935</v>
      </c>
      <c r="E32" s="77">
        <v>8</v>
      </c>
      <c r="F32" s="77">
        <f t="shared" si="2"/>
        <v>1204</v>
      </c>
    </row>
    <row r="33" spans="1:12">
      <c r="A33" s="3" t="s">
        <v>894</v>
      </c>
      <c r="B33" s="3" t="s">
        <v>937</v>
      </c>
      <c r="C33" s="3">
        <f>(201+300)/2</f>
        <v>250.5</v>
      </c>
      <c r="D33" s="3" t="s">
        <v>935</v>
      </c>
      <c r="E33" s="77">
        <v>8</v>
      </c>
      <c r="F33" s="77">
        <f t="shared" si="2"/>
        <v>2004</v>
      </c>
    </row>
    <row r="34" spans="1:12">
      <c r="A34" s="3" t="s">
        <v>894</v>
      </c>
      <c r="B34" s="3" t="s">
        <v>938</v>
      </c>
      <c r="C34" s="3">
        <f>(301+400)/2</f>
        <v>350.5</v>
      </c>
      <c r="D34" s="3" t="s">
        <v>935</v>
      </c>
      <c r="E34" s="77">
        <v>8</v>
      </c>
      <c r="F34" s="77">
        <f t="shared" si="2"/>
        <v>2804</v>
      </c>
    </row>
    <row r="35" spans="1:12">
      <c r="A35" s="3" t="s">
        <v>894</v>
      </c>
      <c r="B35" s="3" t="s">
        <v>939</v>
      </c>
      <c r="C35" s="3">
        <f>(401+500)/2</f>
        <v>450.5</v>
      </c>
      <c r="D35" s="3" t="s">
        <v>935</v>
      </c>
      <c r="E35" s="77">
        <v>8</v>
      </c>
      <c r="F35" s="77">
        <f t="shared" si="2"/>
        <v>3604</v>
      </c>
    </row>
    <row r="36" spans="1:12">
      <c r="A36" s="3" t="s">
        <v>894</v>
      </c>
      <c r="B36" s="3" t="s">
        <v>940</v>
      </c>
      <c r="C36" s="3">
        <f>(501+600)/2</f>
        <v>550.5</v>
      </c>
      <c r="D36" s="3" t="s">
        <v>935</v>
      </c>
      <c r="E36" s="77">
        <v>8</v>
      </c>
      <c r="F36" s="77">
        <f t="shared" si="2"/>
        <v>4404</v>
      </c>
    </row>
    <row r="37" spans="1:12">
      <c r="A37" s="3" t="s">
        <v>894</v>
      </c>
      <c r="B37" s="3" t="s">
        <v>941</v>
      </c>
      <c r="C37" s="3">
        <f>(601+700)/2</f>
        <v>650.5</v>
      </c>
      <c r="D37" s="3" t="s">
        <v>935</v>
      </c>
      <c r="E37" s="77">
        <v>8</v>
      </c>
      <c r="F37" s="77">
        <f t="shared" si="2"/>
        <v>5204</v>
      </c>
    </row>
    <row r="38" spans="1:12">
      <c r="A38" s="3" t="s">
        <v>894</v>
      </c>
      <c r="B38" s="3" t="s">
        <v>942</v>
      </c>
      <c r="C38" s="3">
        <f>(701+800)/2</f>
        <v>750.5</v>
      </c>
      <c r="D38" s="3" t="s">
        <v>935</v>
      </c>
      <c r="E38" s="77">
        <v>8</v>
      </c>
      <c r="F38" s="77">
        <f t="shared" si="2"/>
        <v>6004</v>
      </c>
    </row>
    <row r="39" spans="1:12">
      <c r="A39" s="3" t="s">
        <v>37</v>
      </c>
      <c r="B39" s="3" t="s">
        <v>943</v>
      </c>
      <c r="C39" s="3" t="s">
        <v>896</v>
      </c>
      <c r="D39" s="3" t="s">
        <v>924</v>
      </c>
      <c r="E39" s="77">
        <v>29</v>
      </c>
      <c r="F39" s="77" t="s">
        <v>896</v>
      </c>
      <c r="G39" s="3" t="s">
        <v>944</v>
      </c>
      <c r="K39" s="3" t="s">
        <v>945</v>
      </c>
      <c r="L39" s="3" t="s">
        <v>946</v>
      </c>
    </row>
    <row r="40" spans="1:12">
      <c r="A40" s="3" t="s">
        <v>37</v>
      </c>
      <c r="B40" s="3" t="s">
        <v>947</v>
      </c>
      <c r="C40" s="3" t="s">
        <v>896</v>
      </c>
      <c r="D40" s="3" t="s">
        <v>907</v>
      </c>
      <c r="E40" s="77" t="s">
        <v>896</v>
      </c>
      <c r="F40" s="77">
        <v>27200</v>
      </c>
      <c r="G40" s="3" t="s">
        <v>948</v>
      </c>
      <c r="K40" s="3" t="s">
        <v>949</v>
      </c>
      <c r="L40" s="3" t="s">
        <v>950</v>
      </c>
    </row>
    <row r="41" spans="1:12">
      <c r="A41" s="3" t="s">
        <v>37</v>
      </c>
      <c r="B41" s="3" t="s">
        <v>951</v>
      </c>
      <c r="C41" s="3" t="s">
        <v>896</v>
      </c>
      <c r="D41" s="3" t="s">
        <v>907</v>
      </c>
      <c r="E41" s="77" t="s">
        <v>896</v>
      </c>
      <c r="F41" s="78">
        <v>32750</v>
      </c>
      <c r="G41" s="3" t="s">
        <v>948</v>
      </c>
      <c r="K41" s="3" t="s">
        <v>952</v>
      </c>
      <c r="L41" s="3" t="s">
        <v>953</v>
      </c>
    </row>
    <row r="42" spans="1:12">
      <c r="A42" s="3" t="s">
        <v>37</v>
      </c>
      <c r="B42" s="3" t="s">
        <v>954</v>
      </c>
      <c r="C42" s="3" t="s">
        <v>896</v>
      </c>
      <c r="D42" s="3" t="s">
        <v>907</v>
      </c>
      <c r="E42" s="77" t="s">
        <v>896</v>
      </c>
      <c r="F42" s="78">
        <v>36750</v>
      </c>
      <c r="G42" s="3" t="s">
        <v>948</v>
      </c>
      <c r="K42" s="3" t="s">
        <v>955</v>
      </c>
      <c r="L42" s="3" t="s">
        <v>956</v>
      </c>
    </row>
    <row r="43" spans="1:12">
      <c r="A43" s="3" t="s">
        <v>37</v>
      </c>
      <c r="B43" s="3" t="s">
        <v>957</v>
      </c>
      <c r="C43" s="3" t="s">
        <v>896</v>
      </c>
      <c r="D43" s="3" t="s">
        <v>907</v>
      </c>
      <c r="E43" s="77" t="s">
        <v>896</v>
      </c>
      <c r="F43" s="78">
        <v>41750</v>
      </c>
      <c r="G43" s="3" t="s">
        <v>948</v>
      </c>
      <c r="K43" s="3" t="s">
        <v>958</v>
      </c>
      <c r="L43" s="3" t="s">
        <v>959</v>
      </c>
    </row>
    <row r="44" spans="1:12">
      <c r="A44" s="3" t="s">
        <v>37</v>
      </c>
      <c r="B44" s="3" t="s">
        <v>960</v>
      </c>
      <c r="C44" s="3" t="s">
        <v>896</v>
      </c>
      <c r="D44" s="3" t="s">
        <v>907</v>
      </c>
      <c r="E44" s="77" t="s">
        <v>896</v>
      </c>
      <c r="F44" s="79">
        <v>46800</v>
      </c>
      <c r="G44" s="3" t="s">
        <v>948</v>
      </c>
      <c r="K44" s="3" t="s">
        <v>961</v>
      </c>
      <c r="L44" s="3" t="s">
        <v>962</v>
      </c>
    </row>
    <row r="45" spans="1:12">
      <c r="A45" s="3" t="s">
        <v>37</v>
      </c>
      <c r="B45" s="3" t="s">
        <v>963</v>
      </c>
      <c r="C45" s="3" t="s">
        <v>896</v>
      </c>
      <c r="D45" s="3" t="s">
        <v>907</v>
      </c>
      <c r="E45" s="77" t="s">
        <v>896</v>
      </c>
      <c r="F45" s="77">
        <v>50575</v>
      </c>
      <c r="G45" s="3" t="s">
        <v>964</v>
      </c>
      <c r="K45" s="3" t="s">
        <v>965</v>
      </c>
      <c r="L45" s="3" t="s">
        <v>966</v>
      </c>
    </row>
    <row r="46" spans="1:12">
      <c r="A46" s="3" t="s">
        <v>37</v>
      </c>
      <c r="B46" s="3" t="s">
        <v>967</v>
      </c>
      <c r="C46" s="3" t="s">
        <v>896</v>
      </c>
      <c r="D46" s="3" t="s">
        <v>907</v>
      </c>
      <c r="E46" s="77" t="s">
        <v>896</v>
      </c>
      <c r="F46" s="77">
        <v>53525</v>
      </c>
      <c r="G46" s="3" t="s">
        <v>964</v>
      </c>
      <c r="K46" s="3" t="s">
        <v>968</v>
      </c>
      <c r="L46" s="3" t="s">
        <v>969</v>
      </c>
    </row>
    <row r="47" spans="1:12">
      <c r="A47" s="3" t="s">
        <v>37</v>
      </c>
      <c r="B47" s="3" t="s">
        <v>970</v>
      </c>
      <c r="C47" s="3" t="s">
        <v>896</v>
      </c>
      <c r="D47" s="3" t="s">
        <v>907</v>
      </c>
      <c r="E47" s="77" t="s">
        <v>896</v>
      </c>
      <c r="F47" s="77">
        <v>56500</v>
      </c>
      <c r="G47" s="3" t="s">
        <v>964</v>
      </c>
      <c r="K47" s="3" t="s">
        <v>971</v>
      </c>
      <c r="L47" s="3" t="s">
        <v>972</v>
      </c>
    </row>
    <row r="48" spans="1:12">
      <c r="A48" s="3" t="s">
        <v>37</v>
      </c>
      <c r="B48" s="3" t="s">
        <v>973</v>
      </c>
      <c r="C48" s="3" t="s">
        <v>896</v>
      </c>
      <c r="D48" s="3" t="s">
        <v>924</v>
      </c>
      <c r="E48" s="77">
        <v>29</v>
      </c>
      <c r="F48" s="77" t="s">
        <v>896</v>
      </c>
      <c r="G48" s="3" t="s">
        <v>944</v>
      </c>
      <c r="K48" s="3" t="s">
        <v>974</v>
      </c>
      <c r="L48" s="3" t="s">
        <v>975</v>
      </c>
    </row>
    <row r="49" spans="1:12">
      <c r="A49" s="3" t="s">
        <v>37</v>
      </c>
      <c r="B49" s="3" t="s">
        <v>976</v>
      </c>
      <c r="C49" s="3" t="s">
        <v>896</v>
      </c>
      <c r="D49" s="3" t="s">
        <v>907</v>
      </c>
      <c r="E49" s="77" t="s">
        <v>896</v>
      </c>
      <c r="F49" s="77">
        <v>27200</v>
      </c>
      <c r="G49" s="3" t="s">
        <v>948</v>
      </c>
      <c r="K49" s="3" t="s">
        <v>977</v>
      </c>
      <c r="L49" s="3" t="s">
        <v>978</v>
      </c>
    </row>
    <row r="50" spans="1:12">
      <c r="A50" s="3" t="s">
        <v>37</v>
      </c>
      <c r="B50" s="3" t="s">
        <v>979</v>
      </c>
      <c r="C50" s="3" t="s">
        <v>896</v>
      </c>
      <c r="D50" s="3" t="s">
        <v>907</v>
      </c>
      <c r="E50" s="77" t="s">
        <v>896</v>
      </c>
      <c r="F50" s="79">
        <v>32750</v>
      </c>
      <c r="G50" s="3" t="s">
        <v>948</v>
      </c>
      <c r="K50" s="3" t="s">
        <v>980</v>
      </c>
      <c r="L50" s="3" t="s">
        <v>981</v>
      </c>
    </row>
    <row r="51" spans="1:12">
      <c r="A51" s="3" t="s">
        <v>37</v>
      </c>
      <c r="B51" s="3" t="s">
        <v>982</v>
      </c>
      <c r="C51" s="3" t="s">
        <v>896</v>
      </c>
      <c r="D51" s="3" t="s">
        <v>907</v>
      </c>
      <c r="E51" s="77" t="s">
        <v>896</v>
      </c>
      <c r="F51" s="79">
        <v>36750</v>
      </c>
      <c r="G51" s="3" t="s">
        <v>948</v>
      </c>
      <c r="K51" s="3" t="s">
        <v>983</v>
      </c>
      <c r="L51" s="3" t="s">
        <v>984</v>
      </c>
    </row>
    <row r="52" spans="1:12">
      <c r="A52" s="3" t="s">
        <v>37</v>
      </c>
      <c r="B52" s="3" t="s">
        <v>985</v>
      </c>
      <c r="C52" s="3" t="s">
        <v>896</v>
      </c>
      <c r="D52" s="3" t="s">
        <v>907</v>
      </c>
      <c r="E52" s="77" t="s">
        <v>896</v>
      </c>
      <c r="F52" s="79">
        <v>41750</v>
      </c>
      <c r="G52" s="3" t="s">
        <v>948</v>
      </c>
      <c r="K52" s="3" t="s">
        <v>986</v>
      </c>
      <c r="L52" s="3" t="s">
        <v>987</v>
      </c>
    </row>
    <row r="53" spans="1:12">
      <c r="A53" s="3" t="s">
        <v>37</v>
      </c>
      <c r="B53" s="3" t="s">
        <v>988</v>
      </c>
      <c r="C53" s="3" t="s">
        <v>896</v>
      </c>
      <c r="D53" s="3" t="s">
        <v>907</v>
      </c>
      <c r="E53" s="77" t="s">
        <v>896</v>
      </c>
      <c r="F53" s="79">
        <v>46800</v>
      </c>
      <c r="G53" s="3" t="s">
        <v>948</v>
      </c>
      <c r="K53" s="3" t="s">
        <v>989</v>
      </c>
      <c r="L53" s="3" t="s">
        <v>990</v>
      </c>
    </row>
    <row r="54" spans="1:12">
      <c r="A54" s="3" t="s">
        <v>37</v>
      </c>
      <c r="B54" s="3" t="s">
        <v>991</v>
      </c>
      <c r="C54" s="3" t="s">
        <v>896</v>
      </c>
      <c r="D54" s="3" t="s">
        <v>907</v>
      </c>
      <c r="E54" s="77" t="s">
        <v>896</v>
      </c>
      <c r="F54" s="77">
        <v>50575</v>
      </c>
      <c r="G54" s="3" t="s">
        <v>964</v>
      </c>
      <c r="K54" s="3" t="s">
        <v>992</v>
      </c>
      <c r="L54" s="3" t="s">
        <v>993</v>
      </c>
    </row>
    <row r="55" spans="1:12">
      <c r="A55" s="3" t="s">
        <v>37</v>
      </c>
      <c r="B55" s="3" t="s">
        <v>994</v>
      </c>
      <c r="C55" s="3" t="s">
        <v>896</v>
      </c>
      <c r="D55" s="3" t="s">
        <v>907</v>
      </c>
      <c r="E55" s="77" t="s">
        <v>896</v>
      </c>
      <c r="F55" s="77">
        <v>53525</v>
      </c>
      <c r="G55" s="3" t="s">
        <v>964</v>
      </c>
      <c r="K55" s="3" t="s">
        <v>995</v>
      </c>
      <c r="L55" s="3" t="s">
        <v>996</v>
      </c>
    </row>
    <row r="56" spans="1:12">
      <c r="A56" s="3" t="s">
        <v>37</v>
      </c>
      <c r="B56" s="3" t="s">
        <v>997</v>
      </c>
      <c r="C56" s="3" t="s">
        <v>896</v>
      </c>
      <c r="D56" s="3" t="s">
        <v>907</v>
      </c>
      <c r="E56" s="77" t="s">
        <v>896</v>
      </c>
      <c r="F56" s="77">
        <v>56500</v>
      </c>
      <c r="G56" s="3" t="s">
        <v>964</v>
      </c>
      <c r="K56" s="3" t="s">
        <v>998</v>
      </c>
      <c r="L56" s="3" t="s">
        <v>999</v>
      </c>
    </row>
    <row r="57" spans="1:12">
      <c r="A57" s="3" t="s">
        <v>1000</v>
      </c>
      <c r="B57" s="3" t="s">
        <v>1001</v>
      </c>
      <c r="C57" s="29" t="s">
        <v>896</v>
      </c>
      <c r="D57" s="29" t="s">
        <v>935</v>
      </c>
      <c r="E57" s="78">
        <v>8</v>
      </c>
      <c r="F57" s="77" t="s">
        <v>896</v>
      </c>
    </row>
    <row r="58" spans="1:12">
      <c r="A58" s="3" t="s">
        <v>1000</v>
      </c>
      <c r="B58" s="3" t="s">
        <v>1002</v>
      </c>
      <c r="C58" s="3" t="s">
        <v>896</v>
      </c>
      <c r="D58" s="3" t="s">
        <v>902</v>
      </c>
      <c r="E58" s="77">
        <v>5</v>
      </c>
      <c r="F58" s="77" t="s">
        <v>896</v>
      </c>
    </row>
    <row r="59" spans="1:12">
      <c r="A59" s="3" t="s">
        <v>1000</v>
      </c>
      <c r="B59" s="3" t="s">
        <v>1003</v>
      </c>
      <c r="C59" s="29">
        <f>(500+1000)/2</f>
        <v>750</v>
      </c>
      <c r="D59" s="29" t="s">
        <v>935</v>
      </c>
      <c r="E59" s="79">
        <v>11</v>
      </c>
      <c r="F59" s="77">
        <f>C59*E59</f>
        <v>8250</v>
      </c>
      <c r="G59" s="3" t="s">
        <v>1004</v>
      </c>
    </row>
    <row r="60" spans="1:12">
      <c r="A60" s="3" t="s">
        <v>1000</v>
      </c>
      <c r="B60" s="3" t="s">
        <v>1005</v>
      </c>
      <c r="C60" s="29">
        <f>(1001+1500)/2</f>
        <v>1250.5</v>
      </c>
      <c r="D60" s="29" t="s">
        <v>935</v>
      </c>
      <c r="E60" s="79">
        <f>E59-(E59*0.3)</f>
        <v>7.7</v>
      </c>
      <c r="F60" s="77">
        <f>(1000*E59)+((C60-1000)*E60)</f>
        <v>12928.85</v>
      </c>
    </row>
    <row r="61" spans="1:12">
      <c r="A61" s="3" t="s">
        <v>1000</v>
      </c>
      <c r="B61" s="3" t="s">
        <v>1006</v>
      </c>
      <c r="C61" s="30">
        <f>(1501+2000)/2</f>
        <v>1750.5</v>
      </c>
      <c r="D61" s="29" t="s">
        <v>935</v>
      </c>
      <c r="E61" s="78">
        <f>E59-(E59*0.3)</f>
        <v>7.7</v>
      </c>
      <c r="F61" s="77">
        <f>(1000*E59)+((C61-1000)*E61)</f>
        <v>16778.849999999999</v>
      </c>
    </row>
    <row r="62" spans="1:12">
      <c r="A62" s="3" t="s">
        <v>1000</v>
      </c>
      <c r="B62" s="3" t="s">
        <v>1007</v>
      </c>
      <c r="C62" s="30">
        <f>(2001+2500)/2</f>
        <v>2250.5</v>
      </c>
      <c r="D62" s="29" t="s">
        <v>935</v>
      </c>
      <c r="E62" s="78">
        <f>E61-(E61*0.15)</f>
        <v>6.5449999999999999</v>
      </c>
      <c r="F62" s="77">
        <f>(1000*E59)+(1000*E60)+((C62-2000)*E62)</f>
        <v>20339.522499999999</v>
      </c>
    </row>
    <row r="63" spans="1:12">
      <c r="A63" s="3" t="s">
        <v>1000</v>
      </c>
      <c r="B63" s="3" t="s">
        <v>1008</v>
      </c>
      <c r="C63" s="30">
        <f>(2501+3000)/2</f>
        <v>2750.5</v>
      </c>
      <c r="D63" s="29" t="s">
        <v>935</v>
      </c>
      <c r="E63" s="78">
        <f>E61-(E61*0.15)</f>
        <v>6.5449999999999999</v>
      </c>
      <c r="F63" s="77">
        <f>(1000*E59)+(1000*E60)+((C63-2000)*E63)</f>
        <v>23612.022499999999</v>
      </c>
    </row>
    <row r="64" spans="1:12">
      <c r="A64" s="3" t="s">
        <v>1000</v>
      </c>
      <c r="B64" s="3" t="s">
        <v>1009</v>
      </c>
      <c r="C64" s="3">
        <f>(10+200)/2</f>
        <v>105</v>
      </c>
      <c r="D64" s="3" t="s">
        <v>935</v>
      </c>
      <c r="E64" s="77">
        <v>4</v>
      </c>
      <c r="F64" s="77">
        <f t="shared" ref="F64:F84" si="3">C64*E64</f>
        <v>420</v>
      </c>
    </row>
    <row r="65" spans="1:6">
      <c r="A65" s="3" t="s">
        <v>1000</v>
      </c>
      <c r="B65" s="3" t="s">
        <v>1010</v>
      </c>
      <c r="C65" s="3">
        <f>(201+400)/2</f>
        <v>300.5</v>
      </c>
      <c r="D65" s="3" t="s">
        <v>935</v>
      </c>
      <c r="E65" s="77">
        <v>4</v>
      </c>
      <c r="F65" s="77">
        <f t="shared" si="3"/>
        <v>1202</v>
      </c>
    </row>
    <row r="66" spans="1:6">
      <c r="A66" s="3" t="s">
        <v>1000</v>
      </c>
      <c r="B66" s="3" t="s">
        <v>1011</v>
      </c>
      <c r="C66" s="3">
        <f>(401+600)/2</f>
        <v>500.5</v>
      </c>
      <c r="D66" s="3" t="s">
        <v>935</v>
      </c>
      <c r="E66" s="77">
        <v>4</v>
      </c>
      <c r="F66" s="77">
        <f t="shared" si="3"/>
        <v>2002</v>
      </c>
    </row>
    <row r="67" spans="1:6">
      <c r="A67" s="3" t="s">
        <v>1000</v>
      </c>
      <c r="B67" s="3" t="s">
        <v>1012</v>
      </c>
      <c r="C67" s="3">
        <f>(601+800)/2</f>
        <v>700.5</v>
      </c>
      <c r="D67" s="3" t="s">
        <v>935</v>
      </c>
      <c r="E67" s="77">
        <v>4</v>
      </c>
      <c r="F67" s="77">
        <f t="shared" si="3"/>
        <v>2802</v>
      </c>
    </row>
    <row r="68" spans="1:6">
      <c r="A68" s="3" t="s">
        <v>1000</v>
      </c>
      <c r="B68" s="3" t="s">
        <v>1013</v>
      </c>
      <c r="C68" s="3">
        <f>(801+1000)/2</f>
        <v>900.5</v>
      </c>
      <c r="D68" s="3" t="s">
        <v>935</v>
      </c>
      <c r="E68" s="77">
        <v>4</v>
      </c>
      <c r="F68" s="77">
        <f t="shared" si="3"/>
        <v>3602</v>
      </c>
    </row>
    <row r="69" spans="1:6">
      <c r="A69" s="3" t="s">
        <v>1000</v>
      </c>
      <c r="B69" s="3" t="s">
        <v>1014</v>
      </c>
      <c r="C69" s="3">
        <f>(10+200)/2</f>
        <v>105</v>
      </c>
      <c r="D69" s="3" t="s">
        <v>935</v>
      </c>
      <c r="E69" s="77">
        <v>3</v>
      </c>
      <c r="F69" s="77">
        <f t="shared" ref="F69:F76" si="4">C69*E69</f>
        <v>315</v>
      </c>
    </row>
    <row r="70" spans="1:6">
      <c r="A70" s="3" t="s">
        <v>1000</v>
      </c>
      <c r="B70" s="3" t="s">
        <v>1015</v>
      </c>
      <c r="C70" s="3">
        <f>(201+400)/2</f>
        <v>300.5</v>
      </c>
      <c r="D70" s="3" t="s">
        <v>935</v>
      </c>
      <c r="E70" s="77">
        <v>3</v>
      </c>
      <c r="F70" s="77">
        <f t="shared" si="4"/>
        <v>901.5</v>
      </c>
    </row>
    <row r="71" spans="1:6">
      <c r="A71" s="3" t="s">
        <v>1000</v>
      </c>
      <c r="B71" s="3" t="s">
        <v>1016</v>
      </c>
      <c r="C71" s="3">
        <f>(401+600)/2</f>
        <v>500.5</v>
      </c>
      <c r="D71" s="3" t="s">
        <v>935</v>
      </c>
      <c r="E71" s="77">
        <v>3</v>
      </c>
      <c r="F71" s="77">
        <f t="shared" si="4"/>
        <v>1501.5</v>
      </c>
    </row>
    <row r="72" spans="1:6">
      <c r="A72" s="3" t="s">
        <v>1000</v>
      </c>
      <c r="B72" s="3" t="s">
        <v>1017</v>
      </c>
      <c r="C72" s="3">
        <f>(601+800)/2</f>
        <v>700.5</v>
      </c>
      <c r="D72" s="3" t="s">
        <v>935</v>
      </c>
      <c r="E72" s="77">
        <v>3</v>
      </c>
      <c r="F72" s="77">
        <f t="shared" si="4"/>
        <v>2101.5</v>
      </c>
    </row>
    <row r="73" spans="1:6">
      <c r="A73" s="3" t="s">
        <v>1000</v>
      </c>
      <c r="B73" s="3" t="s">
        <v>1018</v>
      </c>
      <c r="C73" s="3">
        <f>(801+1000)/2</f>
        <v>900.5</v>
      </c>
      <c r="D73" s="3" t="s">
        <v>935</v>
      </c>
      <c r="E73" s="77">
        <v>3</v>
      </c>
      <c r="F73" s="77">
        <f t="shared" si="4"/>
        <v>2701.5</v>
      </c>
    </row>
    <row r="74" spans="1:6">
      <c r="A74" s="3" t="s">
        <v>1000</v>
      </c>
      <c r="B74" s="3" t="s">
        <v>1019</v>
      </c>
      <c r="C74" s="3">
        <f>(1001+1500)/2</f>
        <v>1250.5</v>
      </c>
      <c r="D74" s="3" t="s">
        <v>935</v>
      </c>
      <c r="E74" s="77">
        <v>3</v>
      </c>
      <c r="F74" s="77">
        <f t="shared" si="4"/>
        <v>3751.5</v>
      </c>
    </row>
    <row r="75" spans="1:6">
      <c r="A75" s="3" t="s">
        <v>1000</v>
      </c>
      <c r="B75" s="3" t="s">
        <v>1020</v>
      </c>
      <c r="C75" s="3">
        <f>(1501+2000)/2</f>
        <v>1750.5</v>
      </c>
      <c r="D75" s="3" t="s">
        <v>935</v>
      </c>
      <c r="E75" s="77">
        <v>3</v>
      </c>
      <c r="F75" s="77">
        <f t="shared" si="4"/>
        <v>5251.5</v>
      </c>
    </row>
    <row r="76" spans="1:6">
      <c r="A76" s="3" t="s">
        <v>1000</v>
      </c>
      <c r="B76" s="3" t="s">
        <v>1021</v>
      </c>
      <c r="C76" s="3">
        <f>(2001+2500)/2</f>
        <v>2250.5</v>
      </c>
      <c r="D76" s="3" t="s">
        <v>935</v>
      </c>
      <c r="E76" s="77">
        <v>3</v>
      </c>
      <c r="F76" s="77">
        <f t="shared" si="4"/>
        <v>6751.5</v>
      </c>
    </row>
    <row r="77" spans="1:6">
      <c r="A77" s="3" t="s">
        <v>1000</v>
      </c>
      <c r="B77" s="3" t="s">
        <v>1022</v>
      </c>
      <c r="C77" s="3">
        <f>(10+200)/2</f>
        <v>105</v>
      </c>
      <c r="D77" s="3" t="s">
        <v>935</v>
      </c>
      <c r="E77" s="77">
        <v>3</v>
      </c>
      <c r="F77" s="77">
        <f t="shared" si="3"/>
        <v>315</v>
      </c>
    </row>
    <row r="78" spans="1:6">
      <c r="A78" s="3" t="s">
        <v>1000</v>
      </c>
      <c r="B78" s="3" t="s">
        <v>1023</v>
      </c>
      <c r="C78" s="3">
        <f>(201+400)/2</f>
        <v>300.5</v>
      </c>
      <c r="D78" s="3" t="s">
        <v>935</v>
      </c>
      <c r="E78" s="77">
        <v>3</v>
      </c>
      <c r="F78" s="77">
        <f t="shared" si="3"/>
        <v>901.5</v>
      </c>
    </row>
    <row r="79" spans="1:6">
      <c r="A79" s="3" t="s">
        <v>1000</v>
      </c>
      <c r="B79" s="3" t="s">
        <v>1024</v>
      </c>
      <c r="C79" s="3">
        <f>(401+600)/2</f>
        <v>500.5</v>
      </c>
      <c r="D79" s="3" t="s">
        <v>935</v>
      </c>
      <c r="E79" s="77">
        <v>3</v>
      </c>
      <c r="F79" s="77">
        <f t="shared" si="3"/>
        <v>1501.5</v>
      </c>
    </row>
    <row r="80" spans="1:6">
      <c r="A80" s="3" t="s">
        <v>1000</v>
      </c>
      <c r="B80" s="3" t="s">
        <v>1025</v>
      </c>
      <c r="C80" s="3">
        <f>(601+800)/2</f>
        <v>700.5</v>
      </c>
      <c r="D80" s="3" t="s">
        <v>935</v>
      </c>
      <c r="E80" s="77">
        <v>3</v>
      </c>
      <c r="F80" s="77">
        <f t="shared" si="3"/>
        <v>2101.5</v>
      </c>
    </row>
    <row r="81" spans="1:7">
      <c r="A81" s="3" t="s">
        <v>1000</v>
      </c>
      <c r="B81" s="3" t="s">
        <v>1026</v>
      </c>
      <c r="C81" s="3">
        <f>(801+1000)/2</f>
        <v>900.5</v>
      </c>
      <c r="D81" s="3" t="s">
        <v>935</v>
      </c>
      <c r="E81" s="77">
        <v>3</v>
      </c>
      <c r="F81" s="77">
        <f t="shared" si="3"/>
        <v>2701.5</v>
      </c>
    </row>
    <row r="82" spans="1:7">
      <c r="A82" s="3" t="s">
        <v>1000</v>
      </c>
      <c r="B82" s="3" t="s">
        <v>1027</v>
      </c>
      <c r="C82" s="3">
        <f>(1001+1500)/2</f>
        <v>1250.5</v>
      </c>
      <c r="D82" s="3" t="s">
        <v>935</v>
      </c>
      <c r="E82" s="77">
        <v>3</v>
      </c>
      <c r="F82" s="77">
        <f t="shared" si="3"/>
        <v>3751.5</v>
      </c>
    </row>
    <row r="83" spans="1:7">
      <c r="A83" s="3" t="s">
        <v>1000</v>
      </c>
      <c r="B83" s="3" t="s">
        <v>1028</v>
      </c>
      <c r="C83" s="3">
        <f>(1501+2000)/2</f>
        <v>1750.5</v>
      </c>
      <c r="D83" s="3" t="s">
        <v>935</v>
      </c>
      <c r="E83" s="77">
        <v>3</v>
      </c>
      <c r="F83" s="77">
        <f t="shared" si="3"/>
        <v>5251.5</v>
      </c>
    </row>
    <row r="84" spans="1:7">
      <c r="A84" s="3" t="s">
        <v>1000</v>
      </c>
      <c r="B84" s="3" t="s">
        <v>1029</v>
      </c>
      <c r="C84" s="3">
        <f>(2001+2500)/2</f>
        <v>2250.5</v>
      </c>
      <c r="D84" s="3" t="s">
        <v>935</v>
      </c>
      <c r="E84" s="77">
        <v>3</v>
      </c>
      <c r="F84" s="77">
        <f t="shared" si="3"/>
        <v>6751.5</v>
      </c>
    </row>
    <row r="85" spans="1:7">
      <c r="A85" s="3" t="s">
        <v>49</v>
      </c>
      <c r="B85" s="3" t="s">
        <v>1030</v>
      </c>
      <c r="C85" s="3" t="s">
        <v>896</v>
      </c>
      <c r="D85" s="3" t="s">
        <v>1031</v>
      </c>
      <c r="E85" s="77">
        <v>100</v>
      </c>
      <c r="F85" s="77">
        <v>100</v>
      </c>
      <c r="G85" s="3" t="s">
        <v>1032</v>
      </c>
    </row>
    <row r="86" spans="1:7">
      <c r="A86" s="3" t="s">
        <v>49</v>
      </c>
      <c r="B86" s="3" t="s">
        <v>1033</v>
      </c>
      <c r="C86" s="3" t="s">
        <v>896</v>
      </c>
      <c r="D86" s="3" t="s">
        <v>1034</v>
      </c>
      <c r="E86" s="77">
        <f>2300-600</f>
        <v>1700</v>
      </c>
      <c r="F86" s="77">
        <f>2300-600</f>
        <v>1700</v>
      </c>
      <c r="G86" s="3" t="s">
        <v>1035</v>
      </c>
    </row>
    <row r="87" spans="1:7">
      <c r="A87" s="3" t="s">
        <v>49</v>
      </c>
      <c r="B87" s="3" t="s">
        <v>1036</v>
      </c>
      <c r="C87" s="3" t="s">
        <v>896</v>
      </c>
      <c r="D87" s="3" t="s">
        <v>1037</v>
      </c>
      <c r="E87" s="77">
        <f>3000-600</f>
        <v>2400</v>
      </c>
      <c r="F87" s="77">
        <f>3000-600</f>
        <v>2400</v>
      </c>
      <c r="G87" s="3" t="s">
        <v>1035</v>
      </c>
    </row>
    <row r="88" spans="1:7">
      <c r="A88" s="3" t="s">
        <v>49</v>
      </c>
      <c r="B88" s="3" t="s">
        <v>1038</v>
      </c>
      <c r="C88" s="3" t="s">
        <v>896</v>
      </c>
      <c r="D88" s="3" t="s">
        <v>935</v>
      </c>
      <c r="E88" s="77">
        <v>0.75</v>
      </c>
      <c r="F88" s="77" t="s">
        <v>896</v>
      </c>
    </row>
    <row r="89" spans="1:7">
      <c r="A89" s="3" t="s">
        <v>49</v>
      </c>
      <c r="B89" s="3" t="s">
        <v>1039</v>
      </c>
      <c r="C89" s="3" t="s">
        <v>896</v>
      </c>
      <c r="D89" s="3" t="s">
        <v>1040</v>
      </c>
      <c r="E89" s="77">
        <v>50</v>
      </c>
      <c r="F89" s="77" t="s">
        <v>896</v>
      </c>
      <c r="G89" s="3" t="s">
        <v>1041</v>
      </c>
    </row>
    <row r="90" spans="1:7">
      <c r="A90" s="3" t="s">
        <v>49</v>
      </c>
      <c r="B90" s="3" t="s">
        <v>1042</v>
      </c>
      <c r="C90" s="3" t="s">
        <v>896</v>
      </c>
      <c r="D90" s="3" t="s">
        <v>1043</v>
      </c>
      <c r="E90" s="77">
        <v>75</v>
      </c>
      <c r="F90" s="77" t="s">
        <v>896</v>
      </c>
      <c r="G90" s="3" t="s">
        <v>1044</v>
      </c>
    </row>
    <row r="91" spans="1:7" ht="13.5" customHeight="1">
      <c r="A91" s="3" t="s">
        <v>1045</v>
      </c>
      <c r="B91" s="3" t="s">
        <v>1046</v>
      </c>
      <c r="C91" s="3" t="s">
        <v>896</v>
      </c>
      <c r="D91" s="3" t="s">
        <v>907</v>
      </c>
      <c r="E91" s="77">
        <v>12000</v>
      </c>
      <c r="F91" s="77">
        <v>12000</v>
      </c>
    </row>
    <row r="92" spans="1:7">
      <c r="A92" s="3" t="s">
        <v>1045</v>
      </c>
      <c r="B92" s="3" t="s">
        <v>1047</v>
      </c>
      <c r="C92" s="3" t="s">
        <v>896</v>
      </c>
      <c r="D92" s="3" t="s">
        <v>907</v>
      </c>
      <c r="E92" s="77">
        <v>16250</v>
      </c>
      <c r="F92" s="77">
        <v>16250</v>
      </c>
    </row>
    <row r="93" spans="1:7">
      <c r="A93" s="3" t="s">
        <v>1045</v>
      </c>
      <c r="B93" s="3" t="s">
        <v>1048</v>
      </c>
      <c r="C93" s="3" t="s">
        <v>896</v>
      </c>
      <c r="D93" s="3" t="s">
        <v>907</v>
      </c>
      <c r="E93" s="77">
        <v>22000</v>
      </c>
      <c r="F93" s="77">
        <v>22000</v>
      </c>
    </row>
    <row r="94" spans="1:7">
      <c r="A94" s="3" t="s">
        <v>1049</v>
      </c>
      <c r="B94" s="3" t="s">
        <v>1050</v>
      </c>
      <c r="C94" s="3" t="s">
        <v>896</v>
      </c>
      <c r="D94" s="3" t="s">
        <v>935</v>
      </c>
      <c r="E94" s="77">
        <v>80</v>
      </c>
      <c r="F94" s="77" t="s">
        <v>896</v>
      </c>
    </row>
    <row r="95" spans="1:7">
      <c r="A95" s="3" t="s">
        <v>1049</v>
      </c>
      <c r="B95" s="3" t="s">
        <v>1051</v>
      </c>
      <c r="C95" s="3" t="s">
        <v>896</v>
      </c>
      <c r="D95" s="3" t="s">
        <v>935</v>
      </c>
      <c r="E95" s="77">
        <v>80</v>
      </c>
      <c r="F95" s="77" t="s">
        <v>896</v>
      </c>
    </row>
    <row r="96" spans="1:7">
      <c r="A96" s="3" t="s">
        <v>1049</v>
      </c>
      <c r="B96" s="3" t="s">
        <v>1052</v>
      </c>
      <c r="C96" s="3" t="s">
        <v>896</v>
      </c>
      <c r="D96" s="3" t="s">
        <v>935</v>
      </c>
      <c r="E96" s="77">
        <v>7.5</v>
      </c>
      <c r="F96" s="77" t="s">
        <v>896</v>
      </c>
      <c r="G96" s="3" t="s">
        <v>1053</v>
      </c>
    </row>
    <row r="97" spans="1:8">
      <c r="A97" s="3" t="s">
        <v>1049</v>
      </c>
      <c r="B97" s="3" t="s">
        <v>1054</v>
      </c>
      <c r="C97" s="3" t="s">
        <v>896</v>
      </c>
      <c r="D97" s="3" t="s">
        <v>935</v>
      </c>
      <c r="E97" s="77">
        <v>10.5</v>
      </c>
      <c r="F97" s="77" t="s">
        <v>896</v>
      </c>
      <c r="G97" s="3" t="s">
        <v>1055</v>
      </c>
    </row>
    <row r="98" spans="1:8">
      <c r="A98" s="3" t="s">
        <v>1049</v>
      </c>
      <c r="B98" s="3" t="s">
        <v>1056</v>
      </c>
      <c r="C98" s="3" t="s">
        <v>896</v>
      </c>
      <c r="D98" s="3" t="s">
        <v>1057</v>
      </c>
      <c r="E98" s="77">
        <v>350</v>
      </c>
      <c r="F98" s="77" t="s">
        <v>896</v>
      </c>
      <c r="G98" s="3" t="s">
        <v>1058</v>
      </c>
      <c r="H98"/>
    </row>
    <row r="99" spans="1:8">
      <c r="B99" s="3" t="s">
        <v>1059</v>
      </c>
      <c r="C99" s="3" t="s">
        <v>896</v>
      </c>
      <c r="D99" s="3" t="s">
        <v>935</v>
      </c>
      <c r="E99" s="77">
        <v>0.75</v>
      </c>
      <c r="F99" s="77" t="s">
        <v>896</v>
      </c>
      <c r="G99" s="3" t="s">
        <v>1060</v>
      </c>
      <c r="H99"/>
    </row>
    <row r="100" spans="1:8">
      <c r="A100" s="3" t="s">
        <v>1049</v>
      </c>
      <c r="B100" s="3" t="s">
        <v>1061</v>
      </c>
      <c r="C100" s="3" t="s">
        <v>896</v>
      </c>
      <c r="D100" s="3" t="s">
        <v>935</v>
      </c>
      <c r="E100" s="77">
        <v>5</v>
      </c>
      <c r="F100" s="77" t="s">
        <v>896</v>
      </c>
      <c r="G100" s="3" t="s">
        <v>1062</v>
      </c>
      <c r="H100"/>
    </row>
    <row r="101" spans="1:8">
      <c r="A101" s="3" t="s">
        <v>1049</v>
      </c>
      <c r="B101" s="3" t="s">
        <v>1063</v>
      </c>
      <c r="C101" s="3" t="s">
        <v>896</v>
      </c>
      <c r="D101" s="3" t="s">
        <v>935</v>
      </c>
      <c r="E101" s="77">
        <v>8</v>
      </c>
      <c r="F101" s="77" t="s">
        <v>896</v>
      </c>
      <c r="G101" s="3" t="s">
        <v>1064</v>
      </c>
      <c r="H101"/>
    </row>
    <row r="102" spans="1:8">
      <c r="A102" s="3" t="s">
        <v>1049</v>
      </c>
      <c r="B102" s="3" t="s">
        <v>1065</v>
      </c>
      <c r="C102" s="3" t="s">
        <v>896</v>
      </c>
      <c r="D102" s="3" t="s">
        <v>935</v>
      </c>
      <c r="E102" s="77">
        <v>12</v>
      </c>
      <c r="F102" s="77" t="s">
        <v>896</v>
      </c>
      <c r="H102"/>
    </row>
    <row r="103" spans="1:8">
      <c r="A103" s="3" t="s">
        <v>1049</v>
      </c>
      <c r="B103" s="3" t="s">
        <v>1066</v>
      </c>
      <c r="C103" s="3">
        <f>AVERAGE(50,100)</f>
        <v>75</v>
      </c>
      <c r="D103" s="3" t="s">
        <v>935</v>
      </c>
      <c r="E103" s="77">
        <v>8</v>
      </c>
      <c r="F103" s="77">
        <f>C103*E103</f>
        <v>600</v>
      </c>
      <c r="H103"/>
    </row>
    <row r="104" spans="1:8">
      <c r="A104" s="3" t="s">
        <v>1049</v>
      </c>
      <c r="B104" s="3" t="s">
        <v>1067</v>
      </c>
      <c r="C104" s="3">
        <f>AVERAGE(101,200)</f>
        <v>150.5</v>
      </c>
      <c r="D104" s="3" t="s">
        <v>935</v>
      </c>
      <c r="E104" s="77">
        <v>8</v>
      </c>
      <c r="F104" s="77">
        <f t="shared" ref="F104:F110" si="5">C104*E104</f>
        <v>1204</v>
      </c>
      <c r="H104"/>
    </row>
    <row r="105" spans="1:8">
      <c r="A105" s="3" t="s">
        <v>1049</v>
      </c>
      <c r="B105" s="3" t="s">
        <v>1068</v>
      </c>
      <c r="C105" s="3">
        <f>AVERAGE(201,300)</f>
        <v>250.5</v>
      </c>
      <c r="D105" s="3" t="s">
        <v>935</v>
      </c>
      <c r="E105" s="77">
        <v>8</v>
      </c>
      <c r="F105" s="77">
        <f t="shared" si="5"/>
        <v>2004</v>
      </c>
      <c r="H105"/>
    </row>
    <row r="106" spans="1:8">
      <c r="A106" s="3" t="s">
        <v>1049</v>
      </c>
      <c r="B106" s="3" t="s">
        <v>1069</v>
      </c>
      <c r="C106" s="3">
        <f>AVERAGE(301,400)</f>
        <v>350.5</v>
      </c>
      <c r="D106" s="3" t="s">
        <v>935</v>
      </c>
      <c r="E106" s="77">
        <v>8</v>
      </c>
      <c r="F106" s="77">
        <f t="shared" si="5"/>
        <v>2804</v>
      </c>
      <c r="H106"/>
    </row>
    <row r="107" spans="1:8">
      <c r="A107" s="3" t="s">
        <v>1049</v>
      </c>
      <c r="B107" s="3" t="s">
        <v>1070</v>
      </c>
      <c r="C107" s="3">
        <f>AVERAGE(401,500)</f>
        <v>450.5</v>
      </c>
      <c r="D107" s="3" t="s">
        <v>935</v>
      </c>
      <c r="E107" s="77">
        <v>8</v>
      </c>
      <c r="F107" s="77">
        <f t="shared" si="5"/>
        <v>3604</v>
      </c>
      <c r="H107"/>
    </row>
    <row r="108" spans="1:8">
      <c r="A108" s="3" t="s">
        <v>1049</v>
      </c>
      <c r="B108" s="3" t="s">
        <v>1071</v>
      </c>
      <c r="C108" s="3">
        <f>AVERAGE(501,600)</f>
        <v>550.5</v>
      </c>
      <c r="D108" s="3" t="s">
        <v>935</v>
      </c>
      <c r="E108" s="77">
        <v>8</v>
      </c>
      <c r="F108" s="77">
        <f t="shared" si="5"/>
        <v>4404</v>
      </c>
      <c r="H108"/>
    </row>
    <row r="109" spans="1:8">
      <c r="A109" s="3" t="s">
        <v>1049</v>
      </c>
      <c r="B109" s="3" t="s">
        <v>1072</v>
      </c>
      <c r="C109" s="3">
        <f>AVERAGE(601,700)</f>
        <v>650.5</v>
      </c>
      <c r="D109" s="3" t="s">
        <v>935</v>
      </c>
      <c r="E109" s="77">
        <v>8</v>
      </c>
      <c r="F109" s="77">
        <f t="shared" si="5"/>
        <v>5204</v>
      </c>
      <c r="H109"/>
    </row>
    <row r="110" spans="1:8">
      <c r="A110" s="3" t="s">
        <v>1049</v>
      </c>
      <c r="B110" s="3" t="s">
        <v>1073</v>
      </c>
      <c r="C110" s="3">
        <f>AVERAGE(701,800)</f>
        <v>750.5</v>
      </c>
      <c r="D110" s="3" t="s">
        <v>935</v>
      </c>
      <c r="E110" s="77">
        <v>8</v>
      </c>
      <c r="F110" s="77">
        <f t="shared" si="5"/>
        <v>6004</v>
      </c>
      <c r="H110"/>
    </row>
    <row r="111" spans="1:8">
      <c r="A111" s="3" t="s">
        <v>1049</v>
      </c>
      <c r="B111" s="3" t="s">
        <v>1074</v>
      </c>
      <c r="C111" s="3" t="s">
        <v>896</v>
      </c>
      <c r="D111" s="3" t="s">
        <v>902</v>
      </c>
      <c r="E111" s="77">
        <v>32</v>
      </c>
      <c r="F111" s="77" t="s">
        <v>896</v>
      </c>
      <c r="H111"/>
    </row>
    <row r="112" spans="1:8">
      <c r="A112" s="3" t="s">
        <v>1049</v>
      </c>
      <c r="B112" s="3" t="s">
        <v>1075</v>
      </c>
      <c r="C112" s="3" t="s">
        <v>896</v>
      </c>
      <c r="D112" s="3" t="s">
        <v>902</v>
      </c>
      <c r="E112" s="77">
        <v>32</v>
      </c>
      <c r="F112" s="77" t="s">
        <v>896</v>
      </c>
      <c r="H112"/>
    </row>
    <row r="113" spans="1:8">
      <c r="A113" s="3" t="s">
        <v>1049</v>
      </c>
      <c r="B113" s="3" t="s">
        <v>1076</v>
      </c>
      <c r="C113" s="3" t="s">
        <v>896</v>
      </c>
      <c r="D113" s="3" t="s">
        <v>935</v>
      </c>
      <c r="E113" s="77">
        <v>80</v>
      </c>
      <c r="F113" s="77" t="s">
        <v>896</v>
      </c>
      <c r="H113"/>
    </row>
    <row r="114" spans="1:8">
      <c r="A114" s="3" t="s">
        <v>1049</v>
      </c>
      <c r="B114" s="3" t="s">
        <v>1077</v>
      </c>
      <c r="C114" s="3" t="s">
        <v>896</v>
      </c>
      <c r="D114" s="3" t="s">
        <v>935</v>
      </c>
      <c r="E114" s="77">
        <v>7.5</v>
      </c>
      <c r="F114" s="77" t="s">
        <v>896</v>
      </c>
      <c r="G114" s="3" t="s">
        <v>1053</v>
      </c>
    </row>
    <row r="115" spans="1:8">
      <c r="A115" s="3" t="s">
        <v>1049</v>
      </c>
      <c r="B115" s="3" t="s">
        <v>1078</v>
      </c>
      <c r="C115" s="3" t="s">
        <v>896</v>
      </c>
      <c r="D115" s="3" t="s">
        <v>935</v>
      </c>
      <c r="E115" s="77">
        <v>10.5</v>
      </c>
      <c r="F115" s="77" t="s">
        <v>896</v>
      </c>
      <c r="G115" s="3" t="s">
        <v>1055</v>
      </c>
    </row>
    <row r="116" spans="1:8">
      <c r="A116" s="3" t="s">
        <v>1049</v>
      </c>
      <c r="B116" s="3" t="s">
        <v>1079</v>
      </c>
      <c r="C116" s="3" t="s">
        <v>896</v>
      </c>
      <c r="D116" s="3" t="s">
        <v>1057</v>
      </c>
      <c r="E116" s="77">
        <v>350</v>
      </c>
      <c r="F116" s="77" t="s">
        <v>896</v>
      </c>
      <c r="G116" s="3" t="s">
        <v>1058</v>
      </c>
      <c r="H116"/>
    </row>
    <row r="117" spans="1:8">
      <c r="B117" s="3" t="s">
        <v>1080</v>
      </c>
      <c r="C117" s="3" t="s">
        <v>896</v>
      </c>
      <c r="D117" s="3" t="s">
        <v>935</v>
      </c>
      <c r="E117" s="77">
        <v>0.75</v>
      </c>
      <c r="F117" s="77" t="s">
        <v>896</v>
      </c>
      <c r="G117" s="3" t="s">
        <v>1060</v>
      </c>
      <c r="H117"/>
    </row>
    <row r="118" spans="1:8">
      <c r="A118" s="3" t="s">
        <v>1049</v>
      </c>
      <c r="B118" s="3" t="s">
        <v>1081</v>
      </c>
      <c r="C118" s="3" t="s">
        <v>896</v>
      </c>
      <c r="D118" s="3" t="s">
        <v>935</v>
      </c>
      <c r="E118" s="77">
        <v>5</v>
      </c>
      <c r="F118" s="77" t="s">
        <v>896</v>
      </c>
      <c r="G118" s="3" t="s">
        <v>1062</v>
      </c>
      <c r="H118"/>
    </row>
    <row r="119" spans="1:8">
      <c r="A119" s="3" t="s">
        <v>1049</v>
      </c>
      <c r="B119" s="3" t="s">
        <v>1082</v>
      </c>
      <c r="C119" s="3" t="s">
        <v>896</v>
      </c>
      <c r="D119" s="3" t="s">
        <v>935</v>
      </c>
      <c r="E119" s="77">
        <v>8</v>
      </c>
      <c r="F119" s="77" t="s">
        <v>896</v>
      </c>
      <c r="G119" s="3" t="s">
        <v>1064</v>
      </c>
      <c r="H119"/>
    </row>
    <row r="120" spans="1:8">
      <c r="A120" s="3" t="s">
        <v>1049</v>
      </c>
      <c r="B120" s="3" t="s">
        <v>1083</v>
      </c>
      <c r="C120" s="3" t="s">
        <v>896</v>
      </c>
      <c r="D120" s="3" t="s">
        <v>935</v>
      </c>
      <c r="E120" s="77">
        <v>12</v>
      </c>
      <c r="F120" s="77" t="s">
        <v>896</v>
      </c>
      <c r="H120"/>
    </row>
    <row r="121" spans="1:8">
      <c r="A121" s="3" t="s">
        <v>1049</v>
      </c>
      <c r="B121" s="3" t="s">
        <v>1084</v>
      </c>
      <c r="C121" s="3">
        <f>AVERAGE(50,100)</f>
        <v>75</v>
      </c>
      <c r="D121" s="3" t="s">
        <v>935</v>
      </c>
      <c r="E121" s="77">
        <v>8</v>
      </c>
      <c r="F121" s="77">
        <f t="shared" ref="F121:F128" si="6">C121*E121</f>
        <v>600</v>
      </c>
      <c r="H121"/>
    </row>
    <row r="122" spans="1:8">
      <c r="A122" s="3" t="s">
        <v>1049</v>
      </c>
      <c r="B122" s="3" t="s">
        <v>1085</v>
      </c>
      <c r="C122" s="3">
        <f>AVERAGE(101,200)</f>
        <v>150.5</v>
      </c>
      <c r="D122" s="3" t="s">
        <v>935</v>
      </c>
      <c r="E122" s="77">
        <v>8</v>
      </c>
      <c r="F122" s="77">
        <f t="shared" si="6"/>
        <v>1204</v>
      </c>
      <c r="H122"/>
    </row>
    <row r="123" spans="1:8">
      <c r="A123" s="3" t="s">
        <v>1049</v>
      </c>
      <c r="B123" s="3" t="s">
        <v>1086</v>
      </c>
      <c r="C123" s="3">
        <f>AVERAGE(201,300)</f>
        <v>250.5</v>
      </c>
      <c r="D123" s="3" t="s">
        <v>935</v>
      </c>
      <c r="E123" s="77">
        <v>8</v>
      </c>
      <c r="F123" s="77">
        <f t="shared" si="6"/>
        <v>2004</v>
      </c>
      <c r="H123"/>
    </row>
    <row r="124" spans="1:8">
      <c r="A124" s="3" t="s">
        <v>1049</v>
      </c>
      <c r="B124" s="3" t="s">
        <v>1087</v>
      </c>
      <c r="C124" s="3">
        <f>AVERAGE(301,400)</f>
        <v>350.5</v>
      </c>
      <c r="D124" s="3" t="s">
        <v>935</v>
      </c>
      <c r="E124" s="77">
        <v>8</v>
      </c>
      <c r="F124" s="77">
        <f t="shared" si="6"/>
        <v>2804</v>
      </c>
      <c r="H124"/>
    </row>
    <row r="125" spans="1:8">
      <c r="A125" s="3" t="s">
        <v>1049</v>
      </c>
      <c r="B125" s="3" t="s">
        <v>1088</v>
      </c>
      <c r="C125" s="3">
        <f>AVERAGE(401,500)</f>
        <v>450.5</v>
      </c>
      <c r="D125" s="3" t="s">
        <v>935</v>
      </c>
      <c r="E125" s="77">
        <v>8</v>
      </c>
      <c r="F125" s="77">
        <f t="shared" si="6"/>
        <v>3604</v>
      </c>
    </row>
    <row r="126" spans="1:8">
      <c r="A126" s="3" t="s">
        <v>1049</v>
      </c>
      <c r="B126" s="3" t="s">
        <v>1089</v>
      </c>
      <c r="C126" s="3">
        <f>AVERAGE(501,600)</f>
        <v>550.5</v>
      </c>
      <c r="D126" s="3" t="s">
        <v>935</v>
      </c>
      <c r="E126" s="77">
        <v>8</v>
      </c>
      <c r="F126" s="77">
        <f t="shared" si="6"/>
        <v>4404</v>
      </c>
    </row>
    <row r="127" spans="1:8">
      <c r="A127" s="3" t="s">
        <v>1049</v>
      </c>
      <c r="B127" s="3" t="s">
        <v>1090</v>
      </c>
      <c r="C127" s="3">
        <f>AVERAGE(601,700)</f>
        <v>650.5</v>
      </c>
      <c r="D127" s="3" t="s">
        <v>935</v>
      </c>
      <c r="E127" s="77">
        <v>8</v>
      </c>
      <c r="F127" s="77">
        <f t="shared" si="6"/>
        <v>5204</v>
      </c>
    </row>
    <row r="128" spans="1:8">
      <c r="A128" s="3" t="s">
        <v>1049</v>
      </c>
      <c r="B128" s="3" t="s">
        <v>1091</v>
      </c>
      <c r="C128" s="3">
        <f>AVERAGE(701,800)</f>
        <v>750.5</v>
      </c>
      <c r="D128" s="3" t="s">
        <v>935</v>
      </c>
      <c r="E128" s="77">
        <v>8</v>
      </c>
      <c r="F128" s="77">
        <f t="shared" si="6"/>
        <v>6004</v>
      </c>
    </row>
  </sheetData>
  <sheetProtection algorithmName="SHA-512" hashValue="gV7rL+Fm9l0VUt0IZNB/uPUSUeU5881wDdxKPwCahqlv0neE92h+V4rYD1ZcLD2gtNuumUMRF34lrEzjUB+Z2w==" saltValue="HHJodVnJOCBkvBhcUjEMYA==" spinCount="100000" sheet="1" objects="1" scenarios="1"/>
  <phoneticPr fontId="23" type="noConversion"/>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outlinePr summaryBelow="0"/>
  </sheetPr>
  <dimension ref="A1:R287"/>
  <sheetViews>
    <sheetView tabSelected="1" topLeftCell="A2" zoomScaleNormal="100" workbookViewId="0">
      <selection activeCell="J9" sqref="J9"/>
    </sheetView>
  </sheetViews>
  <sheetFormatPr defaultColWidth="9.33203125" defaultRowHeight="12.95" outlineLevelRow="2"/>
  <cols>
    <col min="1" max="1" width="1.33203125" style="1" customWidth="1"/>
    <col min="2" max="2" width="37.33203125" style="1" customWidth="1"/>
    <col min="3" max="3" width="35.5" style="1" customWidth="1"/>
    <col min="4" max="4" width="15" style="1" bestFit="1" customWidth="1"/>
    <col min="5" max="5" width="9.1640625" style="1" bestFit="1" customWidth="1"/>
    <col min="6" max="6" width="13.6640625" style="1" customWidth="1"/>
    <col min="7" max="7" width="15.6640625" style="1" customWidth="1"/>
    <col min="8" max="8" width="22" style="1" customWidth="1"/>
    <col min="9" max="9" width="9.33203125" style="1"/>
    <col min="19" max="16384" width="9.33203125" style="1"/>
  </cols>
  <sheetData>
    <row r="1" spans="1:18" s="18" customFormat="1" ht="18.600000000000001">
      <c r="A1" s="222" t="s">
        <v>87</v>
      </c>
      <c r="B1" s="222"/>
      <c r="C1" s="222"/>
      <c r="D1" s="222"/>
      <c r="E1" s="222"/>
      <c r="F1" s="222"/>
      <c r="G1" s="222"/>
      <c r="H1" s="222"/>
      <c r="J1" s="24"/>
      <c r="K1" s="24"/>
      <c r="L1" s="24"/>
      <c r="M1" s="24"/>
      <c r="N1" s="24"/>
      <c r="O1" s="24"/>
      <c r="P1" s="24"/>
      <c r="Q1" s="24"/>
      <c r="R1" s="24"/>
    </row>
    <row r="2" spans="1:18" s="18" customFormat="1" ht="26.1" customHeight="1">
      <c r="A2" s="208" t="s">
        <v>88</v>
      </c>
      <c r="B2" s="208"/>
      <c r="C2" s="142"/>
      <c r="D2" s="156" t="s">
        <v>89</v>
      </c>
      <c r="E2" s="203"/>
      <c r="F2" s="204"/>
      <c r="G2" s="183" t="s">
        <v>90</v>
      </c>
      <c r="H2" s="185"/>
      <c r="J2" s="24"/>
      <c r="K2" s="24"/>
      <c r="L2" s="24"/>
      <c r="M2" s="24"/>
      <c r="N2" s="24"/>
      <c r="O2" s="24"/>
      <c r="P2" s="24"/>
      <c r="Q2" s="24"/>
      <c r="R2" s="24"/>
    </row>
    <row r="3" spans="1:18" s="18" customFormat="1" ht="12.95" customHeight="1">
      <c r="A3" s="183"/>
      <c r="B3" s="183"/>
      <c r="C3" s="205" t="s">
        <v>91</v>
      </c>
      <c r="D3" s="206"/>
      <c r="E3" s="203"/>
      <c r="F3" s="204"/>
      <c r="G3" s="207"/>
      <c r="H3" s="207"/>
      <c r="J3" s="24"/>
      <c r="K3" s="24"/>
      <c r="L3" s="24"/>
      <c r="M3" s="24"/>
      <c r="N3" s="24"/>
      <c r="O3" s="24"/>
      <c r="P3" s="24"/>
      <c r="Q3" s="24"/>
      <c r="R3" s="24"/>
    </row>
    <row r="4" spans="1:18" s="18" customFormat="1" ht="26.1" customHeight="1">
      <c r="A4" s="208" t="s">
        <v>92</v>
      </c>
      <c r="B4" s="208"/>
      <c r="C4" s="231"/>
      <c r="D4" s="231"/>
      <c r="E4" s="208" t="s">
        <v>93</v>
      </c>
      <c r="F4" s="208"/>
      <c r="G4" s="230" t="s">
        <v>94</v>
      </c>
      <c r="H4" s="230"/>
      <c r="J4" s="24"/>
      <c r="K4" s="24"/>
      <c r="L4" s="24"/>
      <c r="M4" s="24"/>
      <c r="N4" s="24"/>
      <c r="O4" s="24"/>
      <c r="P4" s="24"/>
      <c r="Q4" s="24"/>
      <c r="R4" s="24"/>
    </row>
    <row r="5" spans="1:18" s="18" customFormat="1" ht="26.1" customHeight="1">
      <c r="A5" s="208" t="s">
        <v>95</v>
      </c>
      <c r="B5" s="208"/>
      <c r="C5" s="209"/>
      <c r="D5" s="209"/>
      <c r="E5" s="208" t="s">
        <v>96</v>
      </c>
      <c r="F5" s="208"/>
      <c r="G5" s="216"/>
      <c r="H5" s="216"/>
      <c r="J5" s="24"/>
      <c r="K5" s="24"/>
      <c r="L5" s="24"/>
      <c r="M5" s="24"/>
      <c r="N5" s="24"/>
      <c r="O5" s="24"/>
      <c r="P5" s="24"/>
      <c r="Q5" s="24"/>
    </row>
    <row r="6" spans="1:18" s="18" customFormat="1" ht="26.1" customHeight="1">
      <c r="A6" s="208" t="s">
        <v>97</v>
      </c>
      <c r="B6" s="208"/>
      <c r="C6" s="210" t="str">
        <f>IF(OR($G$4="SELECT FROM DROP DOWN",$G$4=""),"",VLOOKUP(G4,ProjectInfoCompPrice!A3:B62,2,FALSE))</f>
        <v/>
      </c>
      <c r="D6" s="210"/>
      <c r="E6" s="208" t="s">
        <v>98</v>
      </c>
      <c r="F6" s="208"/>
      <c r="G6" s="216" t="s">
        <v>94</v>
      </c>
      <c r="H6" s="216"/>
      <c r="J6" s="24"/>
      <c r="K6" s="24"/>
      <c r="L6" s="24"/>
      <c r="M6" s="24"/>
      <c r="N6" s="24"/>
      <c r="O6" s="24"/>
      <c r="P6" s="24"/>
      <c r="Q6" s="24"/>
      <c r="R6" s="24"/>
    </row>
    <row r="7" spans="1:18" s="18" customFormat="1" ht="26.1" customHeight="1">
      <c r="A7" s="208" t="s">
        <v>99</v>
      </c>
      <c r="B7" s="208"/>
      <c r="C7" s="210" t="str">
        <f>IF(OR($G$4="SELECT FROM DROP DOWN",$G$4=""),"",VLOOKUP(G4,ProjectInfoCompPrice!A3:D62,4,FALSE))</f>
        <v/>
      </c>
      <c r="D7" s="210"/>
      <c r="E7" s="215" t="s">
        <v>100</v>
      </c>
      <c r="F7" s="215"/>
      <c r="G7" s="207" t="str">
        <f>IF(OR(G6="SELECT FROM DROP DOWN",G6=""),"",VLOOKUP(G6&amp;ProjectInfoCompPrice!AA2&amp;E2,ProjectInfoCompPrice!M4:N114,2,FALSE))</f>
        <v/>
      </c>
      <c r="H7" s="207"/>
      <c r="J7" s="24"/>
      <c r="K7" s="24"/>
      <c r="L7" s="24"/>
      <c r="M7" s="24"/>
      <c r="N7" s="24"/>
      <c r="O7" s="24"/>
      <c r="P7" s="24"/>
      <c r="Q7" s="24"/>
      <c r="R7" s="24"/>
    </row>
    <row r="8" spans="1:18" s="18" customFormat="1" ht="15.95" customHeight="1">
      <c r="A8" s="223" t="s">
        <v>101</v>
      </c>
      <c r="B8" s="223"/>
      <c r="C8" s="223"/>
      <c r="D8" s="223"/>
      <c r="E8" s="223"/>
      <c r="F8" s="223"/>
      <c r="G8" s="223"/>
      <c r="H8" s="223"/>
      <c r="J8" s="24"/>
      <c r="K8" s="24"/>
      <c r="L8" s="24"/>
      <c r="M8" s="24"/>
      <c r="N8" s="24"/>
      <c r="O8" s="24"/>
      <c r="P8" s="24"/>
      <c r="Q8" s="24"/>
      <c r="R8" s="24"/>
    </row>
    <row r="9" spans="1:18" s="18" customFormat="1" ht="15.75" customHeight="1">
      <c r="A9" s="224" t="s">
        <v>102</v>
      </c>
      <c r="B9" s="224"/>
      <c r="C9" s="224"/>
      <c r="D9" s="224"/>
      <c r="E9" s="224"/>
      <c r="F9" s="224"/>
      <c r="G9" s="224"/>
      <c r="H9" s="224"/>
      <c r="J9" s="24"/>
      <c r="K9" s="24"/>
      <c r="L9" s="24"/>
      <c r="M9" s="24"/>
      <c r="N9" s="24"/>
      <c r="O9" s="24"/>
      <c r="P9" s="24"/>
      <c r="Q9" s="24"/>
      <c r="R9" s="24"/>
    </row>
    <row r="10" spans="1:18" s="18" customFormat="1" ht="29.1" customHeight="1" outlineLevel="1">
      <c r="A10" s="225" t="s">
        <v>103</v>
      </c>
      <c r="B10" s="178" t="s">
        <v>104</v>
      </c>
      <c r="C10" s="178" t="s">
        <v>105</v>
      </c>
      <c r="D10" s="178" t="s">
        <v>106</v>
      </c>
      <c r="E10" s="221" t="s">
        <v>107</v>
      </c>
      <c r="F10" s="221"/>
      <c r="G10" s="178" t="s">
        <v>108</v>
      </c>
      <c r="H10" s="178" t="s">
        <v>109</v>
      </c>
      <c r="J10" s="24"/>
      <c r="K10" s="24"/>
      <c r="L10" s="24"/>
      <c r="M10" s="24"/>
      <c r="N10" s="24"/>
      <c r="O10" s="24"/>
      <c r="P10" s="24"/>
      <c r="Q10" s="24"/>
      <c r="R10" s="24"/>
    </row>
    <row r="11" spans="1:18" s="18" customFormat="1" ht="17.100000000000001" customHeight="1" outlineLevel="1">
      <c r="A11" s="225"/>
      <c r="B11" s="86" t="s">
        <v>110</v>
      </c>
      <c r="C11" s="181" t="s">
        <v>94</v>
      </c>
      <c r="D11" s="116">
        <f>SUMIFS(ProjectInfoCompPrice!U4:U188,ProjectInfoCompPrice!T4:T188,ProjectInfoCompPrice!AA2,ProjectInfoCompPrice!R4:R188,LEFT(C11,FIND(" ",C11)-1))</f>
        <v>0</v>
      </c>
      <c r="E11" s="227">
        <f>SUMIFS(ProjectInfoCompPrice!V4:V188,ProjectInfoCompPrice!T4:T188,ProjectInfoCompPrice!AA2,ProjectInfoCompPrice!R4:R188,LEFT(C11,FIND(" ",C11)-1))</f>
        <v>0</v>
      </c>
      <c r="F11" s="227"/>
      <c r="G11" s="117">
        <f>D11*E11</f>
        <v>0</v>
      </c>
      <c r="H11" s="226" t="str">
        <f>IF(G12&gt;0,"Nonstandard plans require GLO approval","")</f>
        <v/>
      </c>
      <c r="J11" s="24"/>
      <c r="K11" s="24"/>
      <c r="L11" s="24"/>
      <c r="M11" s="24"/>
      <c r="N11" s="24"/>
      <c r="O11" s="24"/>
      <c r="P11" s="24"/>
      <c r="Q11" s="24"/>
      <c r="R11" s="24"/>
    </row>
    <row r="12" spans="1:18" s="18" customFormat="1" ht="17.100000000000001" customHeight="1" outlineLevel="1">
      <c r="A12" s="225"/>
      <c r="B12" s="86" t="s">
        <v>111</v>
      </c>
      <c r="C12" s="181"/>
      <c r="D12" s="22"/>
      <c r="E12" s="228"/>
      <c r="F12" s="228"/>
      <c r="G12" s="21">
        <f>D12*E12</f>
        <v>0</v>
      </c>
      <c r="H12" s="226"/>
      <c r="J12" s="24"/>
      <c r="K12" s="24"/>
      <c r="L12" s="24"/>
      <c r="M12" s="24"/>
      <c r="N12" s="24"/>
      <c r="O12" s="24"/>
      <c r="P12" s="24"/>
      <c r="Q12" s="24"/>
      <c r="R12" s="24"/>
    </row>
    <row r="13" spans="1:18" s="18" customFormat="1" ht="17.100000000000001" customHeight="1">
      <c r="A13" s="27"/>
      <c r="B13" s="213" t="s">
        <v>112</v>
      </c>
      <c r="C13" s="213"/>
      <c r="D13" s="213"/>
      <c r="E13" s="213"/>
      <c r="F13" s="213"/>
      <c r="G13" s="213"/>
      <c r="H13" s="118">
        <f>SUM(G11:G12)</f>
        <v>0</v>
      </c>
      <c r="J13" s="24"/>
      <c r="K13" s="24"/>
      <c r="L13" s="24"/>
      <c r="M13" s="24"/>
      <c r="N13" s="24"/>
      <c r="O13" s="24"/>
      <c r="P13" s="24"/>
      <c r="Q13" s="24"/>
      <c r="R13" s="24"/>
    </row>
    <row r="14" spans="1:18" s="18" customFormat="1" ht="15.95" customHeight="1" collapsed="1">
      <c r="A14" s="224" t="s">
        <v>113</v>
      </c>
      <c r="B14" s="224"/>
      <c r="C14" s="224"/>
      <c r="D14" s="224"/>
      <c r="E14" s="224"/>
      <c r="F14" s="224"/>
      <c r="G14" s="224"/>
      <c r="H14" s="224"/>
      <c r="J14" s="24"/>
      <c r="K14" s="24"/>
      <c r="L14" s="24"/>
      <c r="M14" s="24"/>
      <c r="N14" s="24"/>
      <c r="O14" s="24"/>
      <c r="P14" s="24"/>
      <c r="Q14" s="24"/>
      <c r="R14" s="24"/>
    </row>
    <row r="15" spans="1:18" s="18" customFormat="1" ht="17.100000000000001" hidden="1" customHeight="1" outlineLevel="1">
      <c r="A15" s="214" t="s">
        <v>103</v>
      </c>
      <c r="B15" s="221" t="s">
        <v>104</v>
      </c>
      <c r="C15" s="221"/>
      <c r="D15" s="221" t="s">
        <v>114</v>
      </c>
      <c r="E15" s="221"/>
      <c r="F15" s="221"/>
      <c r="G15" s="221"/>
      <c r="H15" s="178" t="s">
        <v>109</v>
      </c>
      <c r="J15" s="24"/>
      <c r="K15" s="24"/>
      <c r="L15" s="24"/>
      <c r="M15" s="24"/>
      <c r="N15" s="24"/>
      <c r="O15" s="24"/>
      <c r="P15" s="24"/>
      <c r="Q15" s="24"/>
      <c r="R15" s="24"/>
    </row>
    <row r="16" spans="1:18" s="18" customFormat="1" ht="17.100000000000001" hidden="1" customHeight="1" outlineLevel="1">
      <c r="A16" s="214"/>
      <c r="B16" s="213" t="s">
        <v>115</v>
      </c>
      <c r="C16" s="213"/>
      <c r="D16" s="229"/>
      <c r="E16" s="229"/>
      <c r="F16" s="229"/>
      <c r="G16" s="229"/>
      <c r="H16" s="119">
        <f>'Rehab estimate '!G136</f>
        <v>0</v>
      </c>
      <c r="J16" s="24"/>
      <c r="K16" s="24"/>
      <c r="L16" s="24"/>
      <c r="M16" s="24"/>
      <c r="N16" s="24"/>
      <c r="O16" s="24"/>
      <c r="P16" s="24"/>
      <c r="Q16" s="24"/>
      <c r="R16" s="24"/>
    </row>
    <row r="17" spans="1:18" s="18" customFormat="1" ht="17.100000000000001" hidden="1" customHeight="1" outlineLevel="1">
      <c r="A17" s="214"/>
      <c r="B17" s="213" t="s">
        <v>116</v>
      </c>
      <c r="C17" s="213"/>
      <c r="D17" s="229"/>
      <c r="E17" s="229"/>
      <c r="F17" s="229"/>
      <c r="G17" s="229"/>
      <c r="H17" s="25">
        <v>0</v>
      </c>
      <c r="J17" s="24"/>
      <c r="K17" s="24"/>
      <c r="L17" s="24"/>
      <c r="M17" s="24"/>
      <c r="N17" s="24"/>
      <c r="O17" s="24"/>
      <c r="P17" s="24"/>
      <c r="Q17" s="24"/>
      <c r="R17" s="24"/>
    </row>
    <row r="18" spans="1:18" s="18" customFormat="1" ht="17.100000000000001" customHeight="1">
      <c r="A18" s="27"/>
      <c r="B18" s="213" t="s">
        <v>117</v>
      </c>
      <c r="C18" s="213"/>
      <c r="D18" s="213"/>
      <c r="E18" s="213"/>
      <c r="F18" s="213"/>
      <c r="G18" s="213"/>
      <c r="H18" s="120">
        <f>H16+H17</f>
        <v>0</v>
      </c>
      <c r="J18" s="24"/>
      <c r="K18" s="24"/>
      <c r="L18" s="24"/>
      <c r="M18" s="24"/>
      <c r="N18" s="24"/>
      <c r="O18" s="24"/>
      <c r="P18" s="24"/>
      <c r="Q18" s="24"/>
      <c r="R18" s="24"/>
    </row>
    <row r="19" spans="1:18" s="18" customFormat="1" ht="15.95" customHeight="1" collapsed="1">
      <c r="A19" s="211" t="s">
        <v>118</v>
      </c>
      <c r="B19" s="211"/>
      <c r="C19" s="211"/>
      <c r="D19" s="211"/>
      <c r="E19" s="211"/>
      <c r="F19" s="211"/>
      <c r="G19" s="211"/>
      <c r="H19" s="211"/>
      <c r="J19" s="24"/>
      <c r="K19" s="24"/>
      <c r="L19" s="24"/>
      <c r="M19" s="24"/>
      <c r="N19" s="24"/>
      <c r="O19" s="24"/>
      <c r="P19" s="24"/>
      <c r="Q19" s="24"/>
      <c r="R19" s="24"/>
    </row>
    <row r="20" spans="1:18" ht="39" hidden="1" outlineLevel="1">
      <c r="A20" s="214" t="s">
        <v>119</v>
      </c>
      <c r="B20" s="178" t="s">
        <v>104</v>
      </c>
      <c r="C20" s="178" t="s">
        <v>120</v>
      </c>
      <c r="D20" s="178" t="s">
        <v>121</v>
      </c>
      <c r="E20" s="178" t="s">
        <v>122</v>
      </c>
      <c r="F20" s="178" t="s">
        <v>123</v>
      </c>
      <c r="G20" s="178" t="s">
        <v>108</v>
      </c>
      <c r="H20" s="178" t="s">
        <v>109</v>
      </c>
    </row>
    <row r="21" spans="1:18" ht="17.100000000000001" hidden="1" customHeight="1" outlineLevel="1">
      <c r="A21" s="214"/>
      <c r="B21" s="83" t="s">
        <v>124</v>
      </c>
      <c r="C21" s="105"/>
      <c r="D21" s="19"/>
      <c r="E21" s="197" t="str">
        <f>IF(OR(B21="SELECT ITEM FROM DROP DOWN LIST",B21=""),"",VLOOKUP(B21,Supplement!$B$2:$D$128,3,FALSE))</f>
        <v/>
      </c>
      <c r="F21" s="121" t="str">
        <f>IF(OR(B21="SELECT ITEM FROM DROP DOWN LIST",B21=""),"",VLOOKUP(B21,Supplement!$B$2:$E$128,4,FALSE))</f>
        <v/>
      </c>
      <c r="G21" s="122" t="str">
        <f>IF(OR(B21="SELECT ITEM FROM DROP DOWN LIST",B21=""),"",ROUND(IF(OR(B21="Tree trim",B21="Stump grinding",B21="Stump removal",B21="Sewer or water line to home",B21="Gas line",B21="Underground electric",B21="Tree removal: 2 - 10 in",B21="Tree removal: 11 - 15 in",B21="Tree removal: 16 - 20 in",B21="Tree removal: 21 - 25 in",B21="Tree removal: 26 - 30 in",B21="Tree removal: 31 - 36 in",B21="Culvert concrete: 12 in",B21="Culvert concrete: 15 in",B21="Culvert concrete: 16 in",B21="Culvert concrete: 18 in",B21="Culvert concrete: 20 in",B21="Culvert concrete: 24 in",B21="Stairs for elevated homes"),D21*F21,VLOOKUP(B21,Supplement!$B$2:$F$128,5,FALSE)),0))</f>
        <v/>
      </c>
      <c r="H21" s="212" t="str">
        <f>IF(AND(COUNTIF(B21:B36,"sewer or water line to home")&gt;0=TRUE,COUNTIF(B21:B36,"Stairs for elevated homes")&gt;0=TRUE),"60 LF of sewer/water line is already included in comp price
Stairs are an allowable cost for homes elevated over 3'",IF(COUNTIF(B21:B36,"sewer or water line to home")&gt;0=TRUE,"60 LF of sewer/water line is already included in comp price",IF(COUNTIF(B21:B36,"Stairs for elevated homes")&gt;0=TRUE,"Stairs are an allowable cost for homes elevated over 3'","")))</f>
        <v/>
      </c>
    </row>
    <row r="22" spans="1:18" ht="17.100000000000001" hidden="1" customHeight="1" outlineLevel="1">
      <c r="A22" s="214"/>
      <c r="B22" s="83" t="s">
        <v>124</v>
      </c>
      <c r="C22" s="105"/>
      <c r="D22" s="19"/>
      <c r="E22" s="197" t="str">
        <f>IF(OR(B22="SELECT ITEM FROM DROP DOWN LIST",B22=""),"",VLOOKUP(B22,Supplement!$B$2:$D$128,3,FALSE))</f>
        <v/>
      </c>
      <c r="F22" s="121" t="str">
        <f>IF(OR(B22="SELECT ITEM FROM DROP DOWN LIST",B22=""),"",VLOOKUP(B22,Supplement!$B$2:$E$128,4,FALSE))</f>
        <v/>
      </c>
      <c r="G22" s="122" t="str">
        <f>IF(OR(B22="SELECT ITEM FROM DROP DOWN LIST",B22=""),"",ROUND(IF(OR(B22="Tree trim",B22="Stump grinding",B22="Stump removal",B22="Sewer or water line to home",B22="Gas line",B22="Underground electric",B22="Tree removal: 2 - 10 in",B22="Tree removal: 11 - 15 in",B22="Tree removal: 16 - 20 in",B22="Tree removal: 21 - 25 in",B22="Tree removal: 26 - 30 in",B22="Tree removal: 31 - 36 in",B22="Culvert concrete: 12 in",B22="Culvert concrete: 15 in",B22="Culvert concrete: 16 in",B22="Culvert concrete: 18 in",B22="Culvert concrete: 20 in",B22="Culvert concrete: 24 in",B22="Stairs for elevated homes"),D22*F22,VLOOKUP(B22,Supplement!$B$2:$F$128,5,FALSE)),0))</f>
        <v/>
      </c>
      <c r="H22" s="212"/>
    </row>
    <row r="23" spans="1:18" ht="17.100000000000001" hidden="1" customHeight="1" outlineLevel="1">
      <c r="A23" s="214"/>
      <c r="B23" s="83" t="s">
        <v>124</v>
      </c>
      <c r="C23" s="105"/>
      <c r="D23" s="19"/>
      <c r="E23" s="197" t="str">
        <f>IF(OR(B23="SELECT ITEM FROM DROP DOWN LIST",B23=""),"",VLOOKUP(B23,Supplement!$B$2:$D$128,3,FALSE))</f>
        <v/>
      </c>
      <c r="F23" s="121" t="str">
        <f>IF(OR(B23="SELECT ITEM FROM DROP DOWN LIST",B23=""),"",VLOOKUP(B23,Supplement!$B$2:$E$128,4,FALSE))</f>
        <v/>
      </c>
      <c r="G23" s="122" t="str">
        <f>IF(OR(B23="SELECT ITEM FROM DROP DOWN LIST",B23=""),"",ROUND(IF(OR(B23="Tree trim",B23="Stump grinding",B23="Stump removal",B23="Sewer or water line to home",B23="Gas line",B23="Underground electric",B23="Tree removal: 2 - 10 in",B23="Tree removal: 11 - 15 in",B23="Tree removal: 16 - 20 in",B23="Tree removal: 21 - 25 in",B23="Tree removal: 26 - 30 in",B23="Tree removal: 31 - 36 in",B23="Culvert concrete: 12 in",B23="Culvert concrete: 15 in",B23="Culvert concrete: 16 in",B23="Culvert concrete: 18 in",B23="Culvert concrete: 20 in",B23="Culvert concrete: 24 in",B23="Stairs for elevated homes"),D23*F23,VLOOKUP(B23,Supplement!$B$2:$F$128,5,FALSE)),0))</f>
        <v/>
      </c>
      <c r="H23" s="212"/>
    </row>
    <row r="24" spans="1:18" ht="17.100000000000001" hidden="1" customHeight="1" outlineLevel="1">
      <c r="A24" s="214"/>
      <c r="B24" s="83" t="s">
        <v>124</v>
      </c>
      <c r="C24" s="105"/>
      <c r="D24" s="19"/>
      <c r="E24" s="197" t="str">
        <f>IF(OR(B24="SELECT ITEM FROM DROP DOWN LIST",B24=""),"",VLOOKUP(B24,Supplement!$B$2:$D$128,3,FALSE))</f>
        <v/>
      </c>
      <c r="F24" s="121" t="str">
        <f>IF(OR(B24="SELECT ITEM FROM DROP DOWN LIST",B24=""),"",VLOOKUP(B24,Supplement!$B$2:$E$128,4,FALSE))</f>
        <v/>
      </c>
      <c r="G24" s="122" t="str">
        <f>IF(OR(B24="SELECT ITEM FROM DROP DOWN LIST",B24=""),"",ROUND(IF(OR(B24="Tree trim",B24="Stump grinding",B24="Stump removal",B24="Sewer or water line to home",B24="Gas line",B24="Underground electric",B24="Tree removal: 2 - 10 in",B24="Tree removal: 11 - 15 in",B24="Tree removal: 16 - 20 in",B24="Tree removal: 21 - 25 in",B24="Tree removal: 26 - 30 in",B24="Tree removal: 31 - 36 in",B24="Culvert concrete: 12 in",B24="Culvert concrete: 15 in",B24="Culvert concrete: 16 in",B24="Culvert concrete: 18 in",B24="Culvert concrete: 20 in",B24="Culvert concrete: 24 in",B24="Stairs for elevated homes"),D24*F24,VLOOKUP(B24,Supplement!$B$2:$F$128,5,FALSE)),0))</f>
        <v/>
      </c>
      <c r="H24" s="212"/>
    </row>
    <row r="25" spans="1:18" ht="17.100000000000001" hidden="1" customHeight="1" outlineLevel="1">
      <c r="A25" s="214"/>
      <c r="B25" s="83" t="s">
        <v>124</v>
      </c>
      <c r="C25" s="105"/>
      <c r="D25" s="19"/>
      <c r="E25" s="197" t="str">
        <f>IF(OR(B25="SELECT ITEM FROM DROP DOWN LIST",B25=""),"",VLOOKUP(B25,Supplement!$B$2:$D$128,3,FALSE))</f>
        <v/>
      </c>
      <c r="F25" s="121" t="str">
        <f>IF(OR(B25="SELECT ITEM FROM DROP DOWN LIST",B25=""),"",VLOOKUP(B25,Supplement!$B$2:$E$128,4,FALSE))</f>
        <v/>
      </c>
      <c r="G25" s="122" t="str">
        <f>IF(OR(B25="SELECT ITEM FROM DROP DOWN LIST",B25=""),"",ROUND(IF(OR(B25="Tree trim",B25="Stump grinding",B25="Stump removal",B25="Sewer or water line to home",B25="Gas line",B25="Underground electric",B25="Tree removal: 2 - 10 in",B25="Tree removal: 11 - 15 in",B25="Tree removal: 16 - 20 in",B25="Tree removal: 21 - 25 in",B25="Tree removal: 26 - 30 in",B25="Tree removal: 31 - 36 in",B25="Culvert concrete: 12 in",B25="Culvert concrete: 15 in",B25="Culvert concrete: 16 in",B25="Culvert concrete: 18 in",B25="Culvert concrete: 20 in",B25="Culvert concrete: 24 in",B25="Stairs for elevated homes"),D25*F25,VLOOKUP(B25,Supplement!$B$2:$F$128,5,FALSE)),0))</f>
        <v/>
      </c>
      <c r="H25" s="212"/>
    </row>
    <row r="26" spans="1:18" ht="17.100000000000001" hidden="1" customHeight="1" outlineLevel="1">
      <c r="A26" s="214"/>
      <c r="B26" s="83" t="s">
        <v>124</v>
      </c>
      <c r="C26" s="105"/>
      <c r="D26" s="19"/>
      <c r="E26" s="197" t="str">
        <f>IF(OR(B26="SELECT ITEM FROM DROP DOWN LIST",B26=""),"",VLOOKUP(B26,Supplement!$B$2:$D$128,3,FALSE))</f>
        <v/>
      </c>
      <c r="F26" s="121" t="str">
        <f>IF(OR(B26="SELECT ITEM FROM DROP DOWN LIST",B26=""),"",VLOOKUP(B26,Supplement!$B$2:$E$128,4,FALSE))</f>
        <v/>
      </c>
      <c r="G26" s="122" t="str">
        <f>IF(OR(B26="SELECT ITEM FROM DROP DOWN LIST",B26=""),"",ROUND(IF(OR(B26="Tree trim",B26="Stump grinding",B26="Stump removal",B26="Sewer or water line to home",B26="Gas line",B26="Underground electric",B26="Tree removal: 2 - 10 in",B26="Tree removal: 11 - 15 in",B26="Tree removal: 16 - 20 in",B26="Tree removal: 21 - 25 in",B26="Tree removal: 26 - 30 in",B26="Tree removal: 31 - 36 in",B26="Culvert concrete: 12 in",B26="Culvert concrete: 15 in",B26="Culvert concrete: 16 in",B26="Culvert concrete: 18 in",B26="Culvert concrete: 20 in",B26="Culvert concrete: 24 in",B26="Stairs for elevated homes"),D26*F26,VLOOKUP(B26,Supplement!$B$2:$F$128,5,FALSE)),0))</f>
        <v/>
      </c>
      <c r="H26" s="212"/>
    </row>
    <row r="27" spans="1:18" ht="17.100000000000001" hidden="1" customHeight="1" outlineLevel="1">
      <c r="A27" s="214"/>
      <c r="B27" s="83" t="s">
        <v>124</v>
      </c>
      <c r="C27" s="105"/>
      <c r="D27" s="19"/>
      <c r="E27" s="197" t="str">
        <f>IF(OR(B27="SELECT ITEM FROM DROP DOWN LIST",B27=""),"",VLOOKUP(B27,Supplement!$B$2:$D$128,3,FALSE))</f>
        <v/>
      </c>
      <c r="F27" s="121" t="str">
        <f>IF(OR(B27="SELECT ITEM FROM DROP DOWN LIST",B27=""),"",VLOOKUP(B27,Supplement!$B$2:$E$128,4,FALSE))</f>
        <v/>
      </c>
      <c r="G27" s="122" t="str">
        <f>IF(OR(B27="SELECT ITEM FROM DROP DOWN LIST",B27=""),"",ROUND(IF(OR(B27="Tree trim",B27="Stump grinding",B27="Stump removal",B27="Sewer or water line to home",B27="Gas line",B27="Underground electric",B27="Tree removal: 2 - 10 in",B27="Tree removal: 11 - 15 in",B27="Tree removal: 16 - 20 in",B27="Tree removal: 21 - 25 in",B27="Tree removal: 26 - 30 in",B27="Tree removal: 31 - 36 in",B27="Culvert concrete: 12 in",B27="Culvert concrete: 15 in",B27="Culvert concrete: 16 in",B27="Culvert concrete: 18 in",B27="Culvert concrete: 20 in",B27="Culvert concrete: 24 in",B27="Stairs for elevated homes"),D27*F27,VLOOKUP(B27,Supplement!$B$2:$F$128,5,FALSE)),0))</f>
        <v/>
      </c>
      <c r="H27" s="212"/>
    </row>
    <row r="28" spans="1:18" ht="17.100000000000001" hidden="1" customHeight="1" outlineLevel="1" collapsed="1">
      <c r="A28" s="214"/>
      <c r="B28" s="83" t="s">
        <v>124</v>
      </c>
      <c r="C28" s="105"/>
      <c r="D28" s="19"/>
      <c r="E28" s="197" t="str">
        <f>IF(OR(B28="SELECT ITEM FROM DROP DOWN LIST",B28=""),"",VLOOKUP(B28,Supplement!$B$2:$D$128,3,FALSE))</f>
        <v/>
      </c>
      <c r="F28" s="121" t="str">
        <f>IF(OR(B28="SELECT ITEM FROM DROP DOWN LIST",B28=""),"",VLOOKUP(B28,Supplement!$B$2:$E$128,4,FALSE))</f>
        <v/>
      </c>
      <c r="G28" s="122" t="str">
        <f>IF(OR(B28="SELECT ITEM FROM DROP DOWN LIST",B28=""),"",ROUND(IF(OR(B28="Tree trim",B28="Stump grinding",B28="Stump removal",B28="Sewer or water line to home",B28="Gas line",B28="Underground electric",B28="Tree removal: 2 - 10 in",B28="Tree removal: 11 - 15 in",B28="Tree removal: 16 - 20 in",B28="Tree removal: 21 - 25 in",B28="Tree removal: 26 - 30 in",B28="Tree removal: 31 - 36 in",B28="Culvert concrete: 12 in",B28="Culvert concrete: 15 in",B28="Culvert concrete: 16 in",B28="Culvert concrete: 18 in",B28="Culvert concrete: 20 in",B28="Culvert concrete: 24 in",B28="Stairs for elevated homes"),D28*F28,VLOOKUP(B28,Supplement!$B$2:$F$128,5,FALSE)),0))</f>
        <v/>
      </c>
      <c r="H28" s="212"/>
    </row>
    <row r="29" spans="1:18" ht="17.100000000000001" hidden="1" customHeight="1" outlineLevel="2">
      <c r="A29" s="214"/>
      <c r="B29" s="83" t="s">
        <v>124</v>
      </c>
      <c r="C29" s="105"/>
      <c r="D29" s="19"/>
      <c r="E29" s="197" t="str">
        <f>IF(OR(B29="SELECT ITEM FROM DROP DOWN LIST",B29=""),"",VLOOKUP(B29,Supplement!$B$2:$D$128,3,FALSE))</f>
        <v/>
      </c>
      <c r="F29" s="121" t="str">
        <f>IF(OR(B29="SELECT ITEM FROM DROP DOWN LIST",B29=""),"",VLOOKUP(B29,Supplement!$B$2:$E$128,4,FALSE))</f>
        <v/>
      </c>
      <c r="G29" s="122" t="str">
        <f>IF(OR(B29="SELECT ITEM FROM DROP DOWN LIST",B29=""),"",ROUND(IF(OR(B29="Tree trim",B29="Stump grinding",B29="Stump removal",B29="Sewer or water line to home",B29="Gas line",B29="Underground electric",B29="Tree removal: 2 - 10 in",B29="Tree removal: 11 - 15 in",B29="Tree removal: 16 - 20 in",B29="Tree removal: 21 - 25 in",B29="Tree removal: 26 - 30 in",B29="Tree removal: 31 - 36 in",B29="Culvert concrete: 12 in",B29="Culvert concrete: 15 in",B29="Culvert concrete: 16 in",B29="Culvert concrete: 18 in",B29="Culvert concrete: 20 in",B29="Culvert concrete: 24 in",B29="Stairs for elevated homes"),D29*F29,VLOOKUP(B29,Supplement!$B$2:$F$128,5,FALSE)),0))</f>
        <v/>
      </c>
      <c r="H29" s="212"/>
    </row>
    <row r="30" spans="1:18" ht="17.100000000000001" hidden="1" customHeight="1" outlineLevel="2">
      <c r="A30" s="214"/>
      <c r="B30" s="83" t="s">
        <v>124</v>
      </c>
      <c r="C30" s="105"/>
      <c r="D30" s="19"/>
      <c r="E30" s="197" t="str">
        <f>IF(OR(B30="SELECT ITEM FROM DROP DOWN LIST",B30=""),"",VLOOKUP(B30,Supplement!$B$2:$D$128,3,FALSE))</f>
        <v/>
      </c>
      <c r="F30" s="121" t="str">
        <f>IF(OR(B30="SELECT ITEM FROM DROP DOWN LIST",B30=""),"",VLOOKUP(B30,Supplement!$B$2:$E$128,4,FALSE))</f>
        <v/>
      </c>
      <c r="G30" s="122" t="str">
        <f>IF(OR(B30="SELECT ITEM FROM DROP DOWN LIST",B30=""),"",ROUND(IF(OR(B30="Tree trim",B30="Stump grinding",B30="Stump removal",B30="Sewer or water line to home",B30="Gas line",B30="Underground electric",B30="Tree removal: 2 - 10 in",B30="Tree removal: 11 - 15 in",B30="Tree removal: 16 - 20 in",B30="Tree removal: 21 - 25 in",B30="Tree removal: 26 - 30 in",B30="Tree removal: 31 - 36 in",B30="Culvert concrete: 12 in",B30="Culvert concrete: 15 in",B30="Culvert concrete: 16 in",B30="Culvert concrete: 18 in",B30="Culvert concrete: 20 in",B30="Culvert concrete: 24 in",B30="Stairs for elevated homes"),D30*F30,VLOOKUP(B30,Supplement!$B$2:$F$128,5,FALSE)),0))</f>
        <v/>
      </c>
      <c r="H30" s="212"/>
    </row>
    <row r="31" spans="1:18" ht="17.100000000000001" hidden="1" customHeight="1" outlineLevel="2">
      <c r="A31" s="214"/>
      <c r="B31" s="83" t="s">
        <v>124</v>
      </c>
      <c r="C31" s="105"/>
      <c r="D31" s="19"/>
      <c r="E31" s="197" t="str">
        <f>IF(OR(B31="SELECT ITEM FROM DROP DOWN LIST",B31=""),"",VLOOKUP(B31,Supplement!$B$2:$D$128,3,FALSE))</f>
        <v/>
      </c>
      <c r="F31" s="121" t="str">
        <f>IF(OR(B31="SELECT ITEM FROM DROP DOWN LIST",B31=""),"",VLOOKUP(B31,Supplement!$B$2:$E$128,4,FALSE))</f>
        <v/>
      </c>
      <c r="G31" s="122" t="str">
        <f>IF(OR(B31="SELECT ITEM FROM DROP DOWN LIST",B31=""),"",ROUND(IF(OR(B31="Tree trim",B31="Stump grinding",B31="Stump removal",B31="Sewer or water line to home",B31="Gas line",B31="Underground electric",B31="Tree removal: 2 - 10 in",B31="Tree removal: 11 - 15 in",B31="Tree removal: 16 - 20 in",B31="Tree removal: 21 - 25 in",B31="Tree removal: 26 - 30 in",B31="Tree removal: 31 - 36 in",B31="Culvert concrete: 12 in",B31="Culvert concrete: 15 in",B31="Culvert concrete: 16 in",B31="Culvert concrete: 18 in",B31="Culvert concrete: 20 in",B31="Culvert concrete: 24 in",B31="Stairs for elevated homes"),D31*F31,VLOOKUP(B31,Supplement!$B$2:$F$128,5,FALSE)),0))</f>
        <v/>
      </c>
      <c r="H31" s="212"/>
    </row>
    <row r="32" spans="1:18" ht="17.100000000000001" hidden="1" customHeight="1" outlineLevel="2">
      <c r="A32" s="214"/>
      <c r="B32" s="83" t="s">
        <v>124</v>
      </c>
      <c r="C32" s="105"/>
      <c r="D32" s="19"/>
      <c r="E32" s="197" t="str">
        <f>IF(OR(B32="SELECT ITEM FROM DROP DOWN LIST",B32=""),"",VLOOKUP(B32,Supplement!$B$2:$D$128,3,FALSE))</f>
        <v/>
      </c>
      <c r="F32" s="121" t="str">
        <f>IF(OR(B32="SELECT ITEM FROM DROP DOWN LIST",B32=""),"",VLOOKUP(B32,Supplement!$B$2:$E$128,4,FALSE))</f>
        <v/>
      </c>
      <c r="G32" s="122" t="str">
        <f>IF(OR(B32="SELECT ITEM FROM DROP DOWN LIST",B32=""),"",ROUND(IF(OR(B32="Tree trim",B32="Stump grinding",B32="Stump removal",B32="Sewer or water line to home",B32="Gas line",B32="Underground electric",B32="Tree removal: 2 - 10 in",B32="Tree removal: 11 - 15 in",B32="Tree removal: 16 - 20 in",B32="Tree removal: 21 - 25 in",B32="Tree removal: 26 - 30 in",B32="Tree removal: 31 - 36 in",B32="Culvert concrete: 12 in",B32="Culvert concrete: 15 in",B32="Culvert concrete: 16 in",B32="Culvert concrete: 18 in",B32="Culvert concrete: 20 in",B32="Culvert concrete: 24 in",B32="Stairs for elevated homes"),D32*F32,VLOOKUP(B32,Supplement!$B$2:$F$128,5,FALSE)),0))</f>
        <v/>
      </c>
      <c r="H32" s="212"/>
    </row>
    <row r="33" spans="1:8" ht="17.100000000000001" hidden="1" customHeight="1" outlineLevel="2">
      <c r="A33" s="214"/>
      <c r="B33" s="83" t="s">
        <v>124</v>
      </c>
      <c r="C33" s="105"/>
      <c r="D33" s="19"/>
      <c r="E33" s="197" t="str">
        <f>IF(OR(B33="SELECT ITEM FROM DROP DOWN LIST",B33=""),"",VLOOKUP(B33,Supplement!$B$2:$D$128,3,FALSE))</f>
        <v/>
      </c>
      <c r="F33" s="121" t="str">
        <f>IF(OR(B33="SELECT ITEM FROM DROP DOWN LIST",B33=""),"",VLOOKUP(B33,Supplement!$B$2:$E$128,4,FALSE))</f>
        <v/>
      </c>
      <c r="G33" s="122" t="str">
        <f>IF(OR(B33="SELECT ITEM FROM DROP DOWN LIST",B33=""),"",ROUND(IF(OR(B33="Tree trim",B33="Stump grinding",B33="Stump removal",B33="Sewer or water line to home",B33="Gas line",B33="Underground electric",B33="Tree removal: 2 - 10 in",B33="Tree removal: 11 - 15 in",B33="Tree removal: 16 - 20 in",B33="Tree removal: 21 - 25 in",B33="Tree removal: 26 - 30 in",B33="Tree removal: 31 - 36 in",B33="Culvert concrete: 12 in",B33="Culvert concrete: 15 in",B33="Culvert concrete: 16 in",B33="Culvert concrete: 18 in",B33="Culvert concrete: 20 in",B33="Culvert concrete: 24 in",B33="Stairs for elevated homes"),D33*F33,VLOOKUP(B33,Supplement!$B$2:$F$128,5,FALSE)),0))</f>
        <v/>
      </c>
      <c r="H33" s="212"/>
    </row>
    <row r="34" spans="1:8" ht="17.100000000000001" hidden="1" customHeight="1" outlineLevel="2">
      <c r="A34" s="214"/>
      <c r="B34" s="83" t="s">
        <v>124</v>
      </c>
      <c r="C34" s="105"/>
      <c r="D34" s="19"/>
      <c r="E34" s="197" t="str">
        <f>IF(OR(B34="SELECT ITEM FROM DROP DOWN LIST",B34=""),"",VLOOKUP(B34,Supplement!$B$2:$D$128,3,FALSE))</f>
        <v/>
      </c>
      <c r="F34" s="121" t="str">
        <f>IF(OR(B34="SELECT ITEM FROM DROP DOWN LIST",B34=""),"",VLOOKUP(B34,Supplement!$B$2:$E$128,4,FALSE))</f>
        <v/>
      </c>
      <c r="G34" s="122" t="str">
        <f>IF(OR(B34="SELECT ITEM FROM DROP DOWN LIST",B34=""),"",ROUND(IF(OR(B34="Tree trim",B34="Stump grinding",B34="Stump removal",B34="Sewer or water line to home",B34="Gas line",B34="Underground electric",B34="Tree removal: 2 - 10 in",B34="Tree removal: 11 - 15 in",B34="Tree removal: 16 - 20 in",B34="Tree removal: 21 - 25 in",B34="Tree removal: 26 - 30 in",B34="Tree removal: 31 - 36 in",B34="Culvert concrete: 12 in",B34="Culvert concrete: 15 in",B34="Culvert concrete: 16 in",B34="Culvert concrete: 18 in",B34="Culvert concrete: 20 in",B34="Culvert concrete: 24 in",B34="Stairs for elevated homes"),D34*F34,VLOOKUP(B34,Supplement!$B$2:$F$128,5,FALSE)),0))</f>
        <v/>
      </c>
      <c r="H34" s="212"/>
    </row>
    <row r="35" spans="1:8" ht="17.100000000000001" hidden="1" customHeight="1" outlineLevel="2">
      <c r="A35" s="214"/>
      <c r="B35" s="83" t="s">
        <v>124</v>
      </c>
      <c r="C35" s="105"/>
      <c r="D35" s="19"/>
      <c r="E35" s="197" t="str">
        <f>IF(OR(B35="SELECT ITEM FROM DROP DOWN LIST",B35=""),"",VLOOKUP(B35,Supplement!$B$2:$D$128,3,FALSE))</f>
        <v/>
      </c>
      <c r="F35" s="121" t="str">
        <f>IF(OR(B35="SELECT ITEM FROM DROP DOWN LIST",B35=""),"",VLOOKUP(B35,Supplement!$B$2:$E$128,4,FALSE))</f>
        <v/>
      </c>
      <c r="G35" s="122" t="str">
        <f>IF(OR(B35="SELECT ITEM FROM DROP DOWN LIST",B35=""),"",ROUND(IF(OR(B35="Tree trim",B35="Stump grinding",B35="Stump removal",B35="Sewer or water line to home",B35="Gas line",B35="Underground electric",B35="Tree removal: 2 - 10 in",B35="Tree removal: 11 - 15 in",B35="Tree removal: 16 - 20 in",B35="Tree removal: 21 - 25 in",B35="Tree removal: 26 - 30 in",B35="Tree removal: 31 - 36 in",B35="Culvert concrete: 12 in",B35="Culvert concrete: 15 in",B35="Culvert concrete: 16 in",B35="Culvert concrete: 18 in",B35="Culvert concrete: 20 in",B35="Culvert concrete: 24 in",B35="Stairs for elevated homes"),D35*F35,VLOOKUP(B35,Supplement!$B$2:$F$128,5,FALSE)),0))</f>
        <v/>
      </c>
      <c r="H35" s="212"/>
    </row>
    <row r="36" spans="1:8" ht="17.100000000000001" hidden="1" customHeight="1" outlineLevel="2">
      <c r="A36" s="214"/>
      <c r="B36" s="83" t="s">
        <v>124</v>
      </c>
      <c r="C36" s="105"/>
      <c r="D36" s="19"/>
      <c r="E36" s="197" t="str">
        <f>IF(OR(B36="SELECT ITEM FROM DROP DOWN LIST",B36=""),"",VLOOKUP(B36,Supplement!$B$2:$D$128,3,FALSE))</f>
        <v/>
      </c>
      <c r="F36" s="121" t="str">
        <f>IF(OR(B36="SELECT ITEM FROM DROP DOWN LIST",B36=""),"",VLOOKUP(B36,Supplement!$B$2:$E$128,4,FALSE))</f>
        <v/>
      </c>
      <c r="G36" s="122" t="str">
        <f>IF(OR(B36="SELECT ITEM FROM DROP DOWN LIST",B36=""),"",ROUND(IF(OR(B36="Tree trim",B36="Stump grinding",B36="Stump removal",B36="Sewer or water line to home",B36="Gas line",B36="Underground electric",B36="Tree removal: 2 - 10 in",B36="Tree removal: 11 - 15 in",B36="Tree removal: 16 - 20 in",B36="Tree removal: 21 - 25 in",B36="Tree removal: 26 - 30 in",B36="Tree removal: 31 - 36 in",B36="Culvert concrete: 12 in",B36="Culvert concrete: 15 in",B36="Culvert concrete: 16 in",B36="Culvert concrete: 18 in",B36="Culvert concrete: 20 in",B36="Culvert concrete: 24 in",B36="Stairs for elevated homes"),D36*F36,VLOOKUP(B36,Supplement!$B$2:$F$128,5,FALSE)),0))</f>
        <v/>
      </c>
      <c r="H36" s="212"/>
    </row>
    <row r="37" spans="1:8" ht="17.100000000000001" hidden="1" customHeight="1" outlineLevel="1" collapsed="1">
      <c r="A37" s="214"/>
      <c r="B37" s="179" t="s">
        <v>125</v>
      </c>
      <c r="C37" s="105"/>
      <c r="D37" s="19"/>
      <c r="E37" s="21"/>
      <c r="F37" s="80"/>
      <c r="G37" s="106">
        <f t="shared" ref="G37:G42" si="0">D37*F37</f>
        <v>0</v>
      </c>
      <c r="H37" s="212"/>
    </row>
    <row r="38" spans="1:8" ht="17.100000000000001" hidden="1" customHeight="1" outlineLevel="1">
      <c r="A38" s="214"/>
      <c r="B38" s="179" t="s">
        <v>125</v>
      </c>
      <c r="C38" s="105"/>
      <c r="D38" s="19"/>
      <c r="E38" s="21"/>
      <c r="F38" s="80"/>
      <c r="G38" s="106">
        <f t="shared" si="0"/>
        <v>0</v>
      </c>
      <c r="H38" s="212"/>
    </row>
    <row r="39" spans="1:8" ht="17.100000000000001" hidden="1" customHeight="1" outlineLevel="1" collapsed="1">
      <c r="A39" s="214"/>
      <c r="B39" s="179" t="s">
        <v>125</v>
      </c>
      <c r="C39" s="105"/>
      <c r="D39" s="19"/>
      <c r="E39" s="21"/>
      <c r="F39" s="80"/>
      <c r="G39" s="106">
        <f t="shared" si="0"/>
        <v>0</v>
      </c>
      <c r="H39" s="212"/>
    </row>
    <row r="40" spans="1:8" ht="17.100000000000001" hidden="1" customHeight="1" outlineLevel="2">
      <c r="A40" s="214"/>
      <c r="B40" s="179" t="s">
        <v>125</v>
      </c>
      <c r="C40" s="105"/>
      <c r="D40" s="19"/>
      <c r="E40" s="21"/>
      <c r="F40" s="80"/>
      <c r="G40" s="106">
        <f t="shared" si="0"/>
        <v>0</v>
      </c>
      <c r="H40" s="212"/>
    </row>
    <row r="41" spans="1:8" ht="17.100000000000001" hidden="1" customHeight="1" outlineLevel="2">
      <c r="A41" s="214"/>
      <c r="B41" s="179" t="s">
        <v>125</v>
      </c>
      <c r="C41" s="105"/>
      <c r="D41" s="19"/>
      <c r="E41" s="21"/>
      <c r="F41" s="80"/>
      <c r="G41" s="106">
        <f t="shared" si="0"/>
        <v>0</v>
      </c>
      <c r="H41" s="212"/>
    </row>
    <row r="42" spans="1:8" ht="17.100000000000001" hidden="1" customHeight="1" outlineLevel="2">
      <c r="A42" s="214"/>
      <c r="B42" s="179" t="s">
        <v>125</v>
      </c>
      <c r="C42" s="105"/>
      <c r="D42" s="19"/>
      <c r="E42" s="21"/>
      <c r="F42" s="80"/>
      <c r="G42" s="106">
        <f t="shared" si="0"/>
        <v>0</v>
      </c>
      <c r="H42" s="212"/>
    </row>
    <row r="43" spans="1:8" ht="17.100000000000001" customHeight="1">
      <c r="A43" s="60"/>
      <c r="B43" s="213" t="s">
        <v>126</v>
      </c>
      <c r="C43" s="213"/>
      <c r="D43" s="213"/>
      <c r="E43" s="213"/>
      <c r="F43" s="213"/>
      <c r="G43" s="213"/>
      <c r="H43" s="123">
        <f>SUM(G21:G42)</f>
        <v>0</v>
      </c>
    </row>
    <row r="44" spans="1:8" ht="15.95" customHeight="1" collapsed="1">
      <c r="A44" s="211" t="s">
        <v>127</v>
      </c>
      <c r="B44" s="211"/>
      <c r="C44" s="211"/>
      <c r="D44" s="211"/>
      <c r="E44" s="211"/>
      <c r="F44" s="211"/>
      <c r="G44" s="211"/>
      <c r="H44" s="211"/>
    </row>
    <row r="45" spans="1:8" ht="65.099999999999994" hidden="1" outlineLevel="1">
      <c r="A45" s="214" t="s">
        <v>103</v>
      </c>
      <c r="B45" s="178" t="s">
        <v>104</v>
      </c>
      <c r="C45" s="178" t="s">
        <v>128</v>
      </c>
      <c r="D45" s="178" t="s">
        <v>129</v>
      </c>
      <c r="E45" s="178" t="s">
        <v>122</v>
      </c>
      <c r="F45" s="178" t="s">
        <v>123</v>
      </c>
      <c r="G45" s="178" t="s">
        <v>130</v>
      </c>
      <c r="H45" s="178" t="s">
        <v>109</v>
      </c>
    </row>
    <row r="46" spans="1:8" ht="23.45" hidden="1" customHeight="1" outlineLevel="1">
      <c r="A46" s="214"/>
      <c r="B46" s="83" t="s">
        <v>131</v>
      </c>
      <c r="C46" s="105"/>
      <c r="D46" s="28"/>
      <c r="E46" s="197" t="str">
        <f>IF(OR(B46="SELECT FROM DROP DOWN LIST",B46=""),"",VLOOKUP(B46,Supplement!$B$2:$E$128,3,FALSE))</f>
        <v/>
      </c>
      <c r="F46" s="121" t="str">
        <f>IF(E46="VF","N/A",IF(E46="CY",VLOOKUP(B46,Supplement!$B$2:$E$128,4,FALSE),""))</f>
        <v/>
      </c>
      <c r="G46" s="122" t="str">
        <f>IF(E46="","",ROUND(IF(E46="VF",VLOOKUP(B46,Supplement!$B$2:$F$128,5,FALSE),D46*F46),0))</f>
        <v/>
      </c>
      <c r="H46" s="219" t="str">
        <f>IF(H50&gt;60000,"Elevation costs exceed assistance cap, requires GLO approval","")</f>
        <v/>
      </c>
    </row>
    <row r="47" spans="1:8" ht="17.100000000000001" hidden="1" customHeight="1" outlineLevel="1" collapsed="1">
      <c r="A47" s="214"/>
      <c r="B47" s="179" t="s">
        <v>132</v>
      </c>
      <c r="C47" s="105"/>
      <c r="D47" s="20"/>
      <c r="E47" s="181"/>
      <c r="F47" s="80"/>
      <c r="G47" s="106">
        <f>D47*F47</f>
        <v>0</v>
      </c>
      <c r="H47" s="219"/>
    </row>
    <row r="48" spans="1:8" ht="17.100000000000001" hidden="1" customHeight="1" outlineLevel="2">
      <c r="A48" s="214"/>
      <c r="B48" s="179" t="s">
        <v>132</v>
      </c>
      <c r="C48" s="105"/>
      <c r="D48" s="20"/>
      <c r="E48" s="181"/>
      <c r="F48" s="80"/>
      <c r="G48" s="106">
        <f>D48*F48</f>
        <v>0</v>
      </c>
      <c r="H48" s="219"/>
    </row>
    <row r="49" spans="1:8" ht="17.100000000000001" hidden="1" customHeight="1" outlineLevel="2">
      <c r="A49" s="214"/>
      <c r="B49" s="179" t="s">
        <v>132</v>
      </c>
      <c r="C49" s="105"/>
      <c r="D49" s="20"/>
      <c r="E49" s="181"/>
      <c r="F49" s="80"/>
      <c r="G49" s="106">
        <f>D49*F49</f>
        <v>0</v>
      </c>
      <c r="H49" s="219"/>
    </row>
    <row r="50" spans="1:8" ht="17.100000000000001" customHeight="1" collapsed="1">
      <c r="A50" s="60"/>
      <c r="B50" s="213" t="s">
        <v>133</v>
      </c>
      <c r="C50" s="213"/>
      <c r="D50" s="213"/>
      <c r="E50" s="213"/>
      <c r="F50" s="213"/>
      <c r="G50" s="213"/>
      <c r="H50" s="123">
        <f>SUM(G46:G49)</f>
        <v>0</v>
      </c>
    </row>
    <row r="51" spans="1:8" ht="17.100000000000001" customHeight="1" collapsed="1">
      <c r="A51" s="211" t="s">
        <v>134</v>
      </c>
      <c r="B51" s="211"/>
      <c r="C51" s="211"/>
      <c r="D51" s="211"/>
      <c r="E51" s="211"/>
      <c r="F51" s="211"/>
      <c r="G51" s="211"/>
      <c r="H51" s="211"/>
    </row>
    <row r="52" spans="1:8" ht="51" hidden="1" customHeight="1" outlineLevel="1">
      <c r="A52" s="214" t="s">
        <v>135</v>
      </c>
      <c r="B52" s="178" t="s">
        <v>104</v>
      </c>
      <c r="C52" s="178" t="s">
        <v>120</v>
      </c>
      <c r="D52" s="178" t="s">
        <v>136</v>
      </c>
      <c r="E52" s="178" t="s">
        <v>122</v>
      </c>
      <c r="F52" s="178" t="s">
        <v>123</v>
      </c>
      <c r="G52" s="178" t="s">
        <v>108</v>
      </c>
      <c r="H52" s="178" t="s">
        <v>109</v>
      </c>
    </row>
    <row r="53" spans="1:8" ht="17.100000000000001" hidden="1" customHeight="1" outlineLevel="1">
      <c r="A53" s="214"/>
      <c r="B53" s="181" t="s">
        <v>124</v>
      </c>
      <c r="C53" s="105"/>
      <c r="D53" s="181"/>
      <c r="E53" s="124" t="str">
        <f>IF(OR($B53="SELECT ITEM FROM DROP DOWN LIST",B53=""),"",VLOOKUP($B53,Supplement!$B$2:$E$128,3,FALSE))</f>
        <v/>
      </c>
      <c r="F53" s="124" t="str">
        <f>IF(OR($B53="SELECT ITEM FROM DROP DOWN LIST",B53=""),"",VLOOKUP($B53,Supplement!$B$2:$E$128,4,FALSE))</f>
        <v/>
      </c>
      <c r="G53" s="124" t="str">
        <f>IF(OR($B53="SELECT ITEM FROM DROP DOWN LIST",B53=""),"",ROUND(IF(OR(B53="Detached garage",B53="fence removal"),D53*F53,VLOOKUP($B53,Supplement!$B$2:$F$128,5,FALSE)),0))</f>
        <v/>
      </c>
      <c r="H53" s="220" t="str">
        <f>IF(COUNTIF(B53:B62,"House demo*")&gt;0=TRUE,"House demo pricing: 
$11/sq ft for the first 1,000 sq ft,
$7.70/sq ft for each sq ft between 1,000 and 2,000,
$6.55/sq ft for each sq ft above 2,000 sq ft","")</f>
        <v/>
      </c>
    </row>
    <row r="54" spans="1:8" ht="17.100000000000001" hidden="1" customHeight="1" outlineLevel="1">
      <c r="A54" s="214"/>
      <c r="B54" s="181" t="s">
        <v>124</v>
      </c>
      <c r="C54" s="105"/>
      <c r="D54" s="181"/>
      <c r="E54" s="124" t="str">
        <f>IF(OR($B54="SELECT ITEM FROM DROP DOWN LIST",B54=""),"",VLOOKUP($B54,Supplement!$B$2:$E$128,3,FALSE))</f>
        <v/>
      </c>
      <c r="F54" s="124" t="str">
        <f>IF(OR($B54="SELECT ITEM FROM DROP DOWN LIST",B54=""),"",VLOOKUP($B54,Supplement!$B$2:$E$128,4,FALSE))</f>
        <v/>
      </c>
      <c r="G54" s="124" t="str">
        <f>IF(OR($B54="SELECT ITEM FROM DROP DOWN LIST",B54=""),"",ROUND(IF(OR(B54="Detached garage",B54="fence removal"),D54*F54,VLOOKUP($B54,Supplement!$B$2:$F$128,5,FALSE)),0))</f>
        <v/>
      </c>
      <c r="H54" s="220"/>
    </row>
    <row r="55" spans="1:8" ht="17.100000000000001" hidden="1" customHeight="1" outlineLevel="1">
      <c r="A55" s="214"/>
      <c r="B55" s="181" t="s">
        <v>124</v>
      </c>
      <c r="C55" s="105"/>
      <c r="D55" s="181"/>
      <c r="E55" s="124" t="str">
        <f>IF(OR($B55="SELECT ITEM FROM DROP DOWN LIST",B55=""),"",VLOOKUP($B55,Supplement!$B$2:$E$128,3,FALSE))</f>
        <v/>
      </c>
      <c r="F55" s="124" t="str">
        <f>IF(OR($B55="SELECT ITEM FROM DROP DOWN LIST",B55=""),"",VLOOKUP($B55,Supplement!$B$2:$E$128,4,FALSE))</f>
        <v/>
      </c>
      <c r="G55" s="124" t="str">
        <f>IF(OR($B55="SELECT ITEM FROM DROP DOWN LIST",B55=""),"",ROUND(IF(OR(B55="Detached garage",B55="fence removal"),D55*F55,VLOOKUP($B55,Supplement!$B$2:$F$128,5,FALSE)),0))</f>
        <v/>
      </c>
      <c r="H55" s="220"/>
    </row>
    <row r="56" spans="1:8" ht="17.100000000000001" hidden="1" customHeight="1" outlineLevel="1">
      <c r="A56" s="214"/>
      <c r="B56" s="181" t="s">
        <v>124</v>
      </c>
      <c r="C56" s="105"/>
      <c r="D56" s="181"/>
      <c r="E56" s="124" t="str">
        <f>IF(OR($B56="SELECT ITEM FROM DROP DOWN LIST",B56=""),"",VLOOKUP($B56,Supplement!$B$2:$E$128,3,FALSE))</f>
        <v/>
      </c>
      <c r="F56" s="124" t="str">
        <f>IF(OR($B56="SELECT ITEM FROM DROP DOWN LIST",B56=""),"",VLOOKUP($B56,Supplement!$B$2:$E$128,4,FALSE))</f>
        <v/>
      </c>
      <c r="G56" s="124" t="str">
        <f>IF(OR($B56="SELECT ITEM FROM DROP DOWN LIST",B56=""),"",ROUND(IF(OR(B56="Detached garage",B56="fence removal"),D56*F56,VLOOKUP($B56,Supplement!$B$2:$F$128,5,FALSE)),0))</f>
        <v/>
      </c>
      <c r="H56" s="220"/>
    </row>
    <row r="57" spans="1:8" ht="17.100000000000001" hidden="1" customHeight="1" outlineLevel="1" collapsed="1">
      <c r="A57" s="214"/>
      <c r="B57" s="181" t="s">
        <v>124</v>
      </c>
      <c r="C57" s="105"/>
      <c r="D57" s="181"/>
      <c r="E57" s="124" t="str">
        <f>IF(OR($B57="SELECT ITEM FROM DROP DOWN LIST",B57=""),"",VLOOKUP($B57,Supplement!$B$2:$E$128,3,FALSE))</f>
        <v/>
      </c>
      <c r="F57" s="124" t="str">
        <f>IF(OR($B57="SELECT ITEM FROM DROP DOWN LIST",B57=""),"",VLOOKUP($B57,Supplement!$B$2:$E$128,4,FALSE))</f>
        <v/>
      </c>
      <c r="G57" s="124" t="str">
        <f>IF(OR($B57="SELECT ITEM FROM DROP DOWN LIST",B57=""),"",ROUND(IF(OR(B57="Detached garage",B57="fence removal"),D57*F57,VLOOKUP($B57,Supplement!$B$2:$F$128,5,FALSE)),0))</f>
        <v/>
      </c>
      <c r="H57" s="220"/>
    </row>
    <row r="58" spans="1:8" ht="17.100000000000001" hidden="1" customHeight="1" outlineLevel="2">
      <c r="A58" s="214"/>
      <c r="B58" s="181" t="s">
        <v>124</v>
      </c>
      <c r="C58" s="105"/>
      <c r="D58" s="181"/>
      <c r="E58" s="124" t="str">
        <f>IF(OR($B58="SELECT ITEM FROM DROP DOWN LIST",B58=""),"",VLOOKUP($B58,Supplement!$B$2:$E$128,3,FALSE))</f>
        <v/>
      </c>
      <c r="F58" s="124" t="str">
        <f>IF(OR($B58="SELECT ITEM FROM DROP DOWN LIST",B58=""),"",VLOOKUP($B58,Supplement!$B$2:$E$128,4,FALSE))</f>
        <v/>
      </c>
      <c r="G58" s="124" t="str">
        <f>IF(OR($B58="SELECT ITEM FROM DROP DOWN LIST",B58=""),"",ROUND(IF(OR(B58="Detached garage",B58="fence removal"),D58*F58,VLOOKUP($B58,Supplement!$B$2:$F$128,5,FALSE)),0))</f>
        <v/>
      </c>
      <c r="H58" s="220"/>
    </row>
    <row r="59" spans="1:8" ht="17.100000000000001" hidden="1" customHeight="1" outlineLevel="2">
      <c r="A59" s="214"/>
      <c r="B59" s="181" t="s">
        <v>124</v>
      </c>
      <c r="C59" s="105"/>
      <c r="D59" s="181"/>
      <c r="E59" s="124" t="str">
        <f>IF(OR($B59="SELECT ITEM FROM DROP DOWN LIST",B59=""),"",VLOOKUP($B59,Supplement!$B$2:$E$128,3,FALSE))</f>
        <v/>
      </c>
      <c r="F59" s="124" t="str">
        <f>IF(OR($B59="SELECT ITEM FROM DROP DOWN LIST",B59=""),"",VLOOKUP($B59,Supplement!$B$2:$E$128,4,FALSE))</f>
        <v/>
      </c>
      <c r="G59" s="124" t="str">
        <f>IF(OR($B59="SELECT ITEM FROM DROP DOWN LIST",B59=""),"",ROUND(IF(OR(B59="Detached garage",B59="fence removal"),D59*F59,VLOOKUP($B59,Supplement!$B$2:$F$128,5,FALSE)),0))</f>
        <v/>
      </c>
      <c r="H59" s="220"/>
    </row>
    <row r="60" spans="1:8" ht="17.100000000000001" hidden="1" customHeight="1" outlineLevel="2">
      <c r="A60" s="214"/>
      <c r="B60" s="181" t="s">
        <v>124</v>
      </c>
      <c r="C60" s="105"/>
      <c r="D60" s="181"/>
      <c r="E60" s="124" t="str">
        <f>IF(OR($B60="SELECT ITEM FROM DROP DOWN LIST",B60=""),"",VLOOKUP($B60,Supplement!$B$2:$E$128,3,FALSE))</f>
        <v/>
      </c>
      <c r="F60" s="124" t="str">
        <f>IF(OR($B60="SELECT ITEM FROM DROP DOWN LIST",B60=""),"",VLOOKUP($B60,Supplement!$B$2:$E$128,4,FALSE))</f>
        <v/>
      </c>
      <c r="G60" s="124" t="str">
        <f>IF(OR($B60="SELECT ITEM FROM DROP DOWN LIST",B60=""),"",ROUND(IF(OR(B60="Detached garage",B60="fence removal"),D60*F60,VLOOKUP($B60,Supplement!$B$2:$F$128,5,FALSE)),0))</f>
        <v/>
      </c>
      <c r="H60" s="220"/>
    </row>
    <row r="61" spans="1:8" ht="17.100000000000001" hidden="1" customHeight="1" outlineLevel="2">
      <c r="A61" s="214"/>
      <c r="B61" s="181" t="s">
        <v>124</v>
      </c>
      <c r="C61" s="105"/>
      <c r="D61" s="181"/>
      <c r="E61" s="124" t="str">
        <f>IF(OR($B61="SELECT ITEM FROM DROP DOWN LIST",B61=""),"",VLOOKUP($B61,Supplement!$B$2:$E$128,3,FALSE))</f>
        <v/>
      </c>
      <c r="F61" s="124" t="str">
        <f>IF(OR($B61="SELECT ITEM FROM DROP DOWN LIST",B61=""),"",VLOOKUP($B61,Supplement!$B$2:$E$128,4,FALSE))</f>
        <v/>
      </c>
      <c r="G61" s="124" t="str">
        <f>IF(OR($B61="SELECT ITEM FROM DROP DOWN LIST",B61=""),"",ROUND(IF(OR(B61="Detached garage",B61="fence removal"),D61*F61,VLOOKUP($B61,Supplement!$B$2:$F$128,5,FALSE)),0))</f>
        <v/>
      </c>
      <c r="H61" s="220"/>
    </row>
    <row r="62" spans="1:8" ht="17.100000000000001" hidden="1" customHeight="1" outlineLevel="2">
      <c r="A62" s="214"/>
      <c r="B62" s="181" t="s">
        <v>124</v>
      </c>
      <c r="C62" s="105"/>
      <c r="D62" s="181"/>
      <c r="E62" s="124" t="str">
        <f>IF(OR($B62="SELECT ITEM FROM DROP DOWN LIST",B62=""),"",VLOOKUP($B62,Supplement!$B$2:$E$128,3,FALSE))</f>
        <v/>
      </c>
      <c r="F62" s="124" t="str">
        <f>IF(OR($B62="SELECT ITEM FROM DROP DOWN LIST",B62=""),"",VLOOKUP($B62,Supplement!$B$2:$E$128,4,FALSE))</f>
        <v/>
      </c>
      <c r="G62" s="124" t="str">
        <f>IF(OR($B62="SELECT ITEM FROM DROP DOWN LIST",B62=""),"",ROUND(IF(OR(B62="Detached garage",B62="fence removal"),D62*F62,VLOOKUP($B62,Supplement!$B$2:$F$128,5,FALSE)),0))</f>
        <v/>
      </c>
      <c r="H62" s="220"/>
    </row>
    <row r="63" spans="1:8" ht="17.100000000000001" hidden="1" customHeight="1" outlineLevel="1" collapsed="1">
      <c r="A63" s="214"/>
      <c r="B63" s="86" t="s">
        <v>137</v>
      </c>
      <c r="C63" s="105"/>
      <c r="D63" s="180"/>
      <c r="E63" s="181"/>
      <c r="F63" s="26"/>
      <c r="G63" s="106">
        <f t="shared" ref="G63:G68" si="1">D63*F63</f>
        <v>0</v>
      </c>
      <c r="H63" s="220"/>
    </row>
    <row r="64" spans="1:8" ht="17.100000000000001" hidden="1" customHeight="1" outlineLevel="1">
      <c r="A64" s="214"/>
      <c r="B64" s="86" t="s">
        <v>137</v>
      </c>
      <c r="C64" s="105"/>
      <c r="D64" s="180"/>
      <c r="E64" s="181"/>
      <c r="F64" s="26"/>
      <c r="G64" s="106">
        <f t="shared" si="1"/>
        <v>0</v>
      </c>
      <c r="H64" s="220"/>
    </row>
    <row r="65" spans="1:12" ht="17.100000000000001" hidden="1" customHeight="1" outlineLevel="1" collapsed="1">
      <c r="A65" s="214"/>
      <c r="B65" s="86" t="s">
        <v>137</v>
      </c>
      <c r="C65" s="105"/>
      <c r="D65" s="180"/>
      <c r="E65" s="181"/>
      <c r="F65" s="26"/>
      <c r="G65" s="106">
        <f t="shared" si="1"/>
        <v>0</v>
      </c>
      <c r="H65" s="220"/>
    </row>
    <row r="66" spans="1:12" ht="17.100000000000001" hidden="1" customHeight="1" outlineLevel="2">
      <c r="A66" s="214"/>
      <c r="B66" s="86" t="s">
        <v>137</v>
      </c>
      <c r="C66" s="105"/>
      <c r="D66" s="180"/>
      <c r="E66" s="181"/>
      <c r="F66" s="26"/>
      <c r="G66" s="106">
        <f t="shared" si="1"/>
        <v>0</v>
      </c>
      <c r="H66" s="220"/>
    </row>
    <row r="67" spans="1:12" ht="17.100000000000001" hidden="1" customHeight="1" outlineLevel="2">
      <c r="A67" s="214"/>
      <c r="B67" s="86" t="s">
        <v>137</v>
      </c>
      <c r="C67" s="105"/>
      <c r="D67" s="180"/>
      <c r="E67" s="181"/>
      <c r="F67" s="26"/>
      <c r="G67" s="106">
        <f t="shared" si="1"/>
        <v>0</v>
      </c>
      <c r="H67" s="220"/>
    </row>
    <row r="68" spans="1:12" ht="17.100000000000001" hidden="1" customHeight="1" outlineLevel="2">
      <c r="A68" s="214"/>
      <c r="B68" s="86" t="s">
        <v>137</v>
      </c>
      <c r="C68" s="105"/>
      <c r="D68" s="180"/>
      <c r="E68" s="181"/>
      <c r="F68" s="26"/>
      <c r="G68" s="106">
        <f t="shared" si="1"/>
        <v>0</v>
      </c>
      <c r="H68" s="220"/>
    </row>
    <row r="69" spans="1:12" ht="17.100000000000001" customHeight="1" collapsed="1">
      <c r="A69" s="60"/>
      <c r="B69" s="213" t="s">
        <v>138</v>
      </c>
      <c r="C69" s="213"/>
      <c r="D69" s="213"/>
      <c r="E69" s="213"/>
      <c r="F69" s="213"/>
      <c r="G69" s="213"/>
      <c r="H69" s="123">
        <f>SUM(G53:G68)</f>
        <v>0</v>
      </c>
    </row>
    <row r="70" spans="1:12" ht="17.100000000000001" customHeight="1" collapsed="1">
      <c r="A70" s="211" t="s">
        <v>139</v>
      </c>
      <c r="B70" s="211"/>
      <c r="C70" s="211"/>
      <c r="D70" s="211"/>
      <c r="E70" s="211"/>
      <c r="F70" s="211"/>
      <c r="G70" s="211"/>
      <c r="H70" s="211"/>
    </row>
    <row r="71" spans="1:12" ht="51.95" hidden="1" outlineLevel="1">
      <c r="A71" s="214" t="s">
        <v>103</v>
      </c>
      <c r="B71" s="178" t="s">
        <v>104</v>
      </c>
      <c r="C71" s="178" t="s">
        <v>140</v>
      </c>
      <c r="D71" s="178" t="s">
        <v>136</v>
      </c>
      <c r="E71" s="178" t="s">
        <v>122</v>
      </c>
      <c r="F71" s="178" t="s">
        <v>123</v>
      </c>
      <c r="G71" s="178" t="s">
        <v>141</v>
      </c>
      <c r="H71" s="178" t="s">
        <v>109</v>
      </c>
    </row>
    <row r="72" spans="1:12" ht="17.100000000000001" hidden="1" customHeight="1" outlineLevel="1">
      <c r="A72" s="214"/>
      <c r="B72" s="181" t="s">
        <v>124</v>
      </c>
      <c r="C72" s="83"/>
      <c r="D72" s="19"/>
      <c r="E72" s="182" t="str">
        <f>IF(OR($B72="SELECT ITEM FROM DROP DOWN LIST",B72=""),"",VLOOKUP($B72,Supplement!$B$2:$E$128,3,FALSE))</f>
        <v/>
      </c>
      <c r="F72" s="119" t="str">
        <f>IF(OR($B72="SELECT ITEM FROM DROP DOWN LIST",B72=""),"",VLOOKUP($B72,Supplement!$B$2:$E$128,4,FALSE))</f>
        <v/>
      </c>
      <c r="G72" s="122" t="str">
        <f>IF(OR($B72="SELECT ITEM FROM DROP DOWN LIST",B72=""),"",ROUND(IF(OR(B72="HC3 tub",B72="HC4 shower"),VLOOKUP(B72,Supplement!$B$2:$F$128,5,FALSE),(D72*F72)),0))</f>
        <v/>
      </c>
      <c r="H72" s="212" t="str">
        <f>IF(H86&gt;20000,"Accessibility costs exceed assistance cap, requires GLO approval","")</f>
        <v/>
      </c>
    </row>
    <row r="73" spans="1:12" ht="17.100000000000001" hidden="1" customHeight="1" outlineLevel="1">
      <c r="A73" s="214"/>
      <c r="B73" s="181" t="s">
        <v>124</v>
      </c>
      <c r="C73" s="83"/>
      <c r="D73" s="19"/>
      <c r="E73" s="182" t="str">
        <f>IF(OR($B73="SELECT ITEM FROM DROP DOWN LIST",B73=""),"",VLOOKUP($B73,Supplement!$B$2:$E$128,3,FALSE))</f>
        <v/>
      </c>
      <c r="F73" s="119" t="str">
        <f>IF(OR($B73="SELECT ITEM FROM DROP DOWN LIST",B73=""),"",VLOOKUP($B73,Supplement!$B$2:$E$128,4,FALSE))</f>
        <v/>
      </c>
      <c r="G73" s="122" t="str">
        <f>IF(OR($B73="SELECT ITEM FROM DROP DOWN LIST",B73=""),"",ROUND(IF(OR(B73="HC3 tub",B73="HC4 shower"),VLOOKUP(B73,Supplement!$B$2:$F$128,5,FALSE),(D73*F73)),0))</f>
        <v/>
      </c>
      <c r="H73" s="212"/>
    </row>
    <row r="74" spans="1:12" ht="17.100000000000001" hidden="1" customHeight="1" outlineLevel="1" collapsed="1">
      <c r="A74" s="214"/>
      <c r="B74" s="181" t="s">
        <v>124</v>
      </c>
      <c r="C74" s="83"/>
      <c r="D74" s="19"/>
      <c r="E74" s="182" t="str">
        <f>IF(OR($B74="SELECT ITEM FROM DROP DOWN LIST",B74=""),"",VLOOKUP($B74,Supplement!$B$2:$E$128,3,FALSE))</f>
        <v/>
      </c>
      <c r="F74" s="119" t="str">
        <f>IF(OR($B74="SELECT ITEM FROM DROP DOWN LIST",B74=""),"",VLOOKUP($B74,Supplement!$B$2:$E$128,4,FALSE))</f>
        <v/>
      </c>
      <c r="G74" s="122" t="str">
        <f>IF(OR($B74="SELECT ITEM FROM DROP DOWN LIST",B74=""),"",ROUND(IF(OR(B74="HC3 tub",B74="HC4 shower"),VLOOKUP(B74,Supplement!$B$2:$F$128,5,FALSE),(D74*F74)),0))</f>
        <v/>
      </c>
      <c r="H74" s="212"/>
    </row>
    <row r="75" spans="1:12" ht="17.100000000000001" hidden="1" customHeight="1" outlineLevel="2">
      <c r="A75" s="214"/>
      <c r="B75" s="181" t="s">
        <v>124</v>
      </c>
      <c r="C75" s="83"/>
      <c r="D75" s="19"/>
      <c r="E75" s="182" t="str">
        <f>IF(OR($B75="SELECT ITEM FROM DROP DOWN LIST",B75=""),"",VLOOKUP($B75,Supplement!$B$2:$E$128,3,FALSE))</f>
        <v/>
      </c>
      <c r="F75" s="119" t="str">
        <f>IF(OR($B75="SELECT ITEM FROM DROP DOWN LIST",B75=""),"",VLOOKUP($B75,Supplement!$B$2:$E$128,4,FALSE))</f>
        <v/>
      </c>
      <c r="G75" s="122" t="str">
        <f>IF(OR($B75="SELECT ITEM FROM DROP DOWN LIST",B75=""),"",ROUND(IF(OR(B75="HC3 tub",B75="HC4 shower"),VLOOKUP(B75,Supplement!$B$2:$F$128,5,FALSE),(D75*F75)),0))</f>
        <v/>
      </c>
      <c r="H75" s="212"/>
    </row>
    <row r="76" spans="1:12" ht="17.100000000000001" hidden="1" customHeight="1" outlineLevel="2">
      <c r="A76" s="214"/>
      <c r="B76" s="181" t="s">
        <v>124</v>
      </c>
      <c r="C76" s="83"/>
      <c r="D76" s="19"/>
      <c r="E76" s="182" t="str">
        <f>IF(OR($B76="SELECT ITEM FROM DROP DOWN LIST",B76=""),"",VLOOKUP($B76,Supplement!$B$2:$E$128,3,FALSE))</f>
        <v/>
      </c>
      <c r="F76" s="119" t="str">
        <f>IF(OR($B76="SELECT ITEM FROM DROP DOWN LIST",B76=""),"",VLOOKUP($B76,Supplement!$B$2:$E$128,4,FALSE))</f>
        <v/>
      </c>
      <c r="G76" s="122" t="str">
        <f>IF(OR($B76="SELECT ITEM FROM DROP DOWN LIST",B76=""),"",ROUND(IF(OR(B76="HC3 tub",B76="HC4 shower"),VLOOKUP(B76,Supplement!$B$2:$F$128,5,FALSE),(D76*F76)),0))</f>
        <v/>
      </c>
      <c r="H76" s="212"/>
    </row>
    <row r="77" spans="1:12" ht="17.100000000000001" hidden="1" customHeight="1" outlineLevel="2">
      <c r="A77" s="214"/>
      <c r="B77" s="181" t="s">
        <v>124</v>
      </c>
      <c r="C77" s="83"/>
      <c r="D77" s="19"/>
      <c r="E77" s="182" t="str">
        <f>IF(OR($B77="SELECT ITEM FROM DROP DOWN LIST",B77=""),"",VLOOKUP($B77,Supplement!$B$2:$E$128,3,FALSE))</f>
        <v/>
      </c>
      <c r="F77" s="119" t="str">
        <f>IF(OR($B77="SELECT ITEM FROM DROP DOWN LIST",B77=""),"",VLOOKUP($B77,Supplement!$B$2:$E$128,4,FALSE))</f>
        <v/>
      </c>
      <c r="G77" s="122" t="str">
        <f>IF(OR($B77="SELECT ITEM FROM DROP DOWN LIST",B77=""),"",ROUND(IF(OR(B77="HC3 tub",B77="HC4 shower"),VLOOKUP(B77,Supplement!$B$2:$F$128,5,FALSE),(D77*F77)),0))</f>
        <v/>
      </c>
      <c r="H77" s="212"/>
    </row>
    <row r="78" spans="1:12" ht="16.5" hidden="1" customHeight="1" outlineLevel="1">
      <c r="A78" s="214"/>
      <c r="B78" s="179" t="s">
        <v>142</v>
      </c>
      <c r="C78" s="83"/>
      <c r="D78" s="139" t="str">
        <f>IF(OR(D79="",G79=""),"",(G79)+(D79*5))</f>
        <v/>
      </c>
      <c r="E78" s="182" t="str">
        <f>IF(OR(D79="",G79=""),"","LF")</f>
        <v/>
      </c>
      <c r="F78" s="119" t="str">
        <f>IF(OR(D79="",G79=""),"",165)</f>
        <v/>
      </c>
      <c r="G78" s="122" t="str">
        <f>IF(OR(D79="",G79=""),"",ROUND(D78*F78,0))</f>
        <v/>
      </c>
      <c r="H78" s="212"/>
    </row>
    <row r="79" spans="1:12" ht="26.1" hidden="1" outlineLevel="1">
      <c r="A79" s="214"/>
      <c r="B79" s="87" t="s">
        <v>143</v>
      </c>
      <c r="C79" s="88" t="s">
        <v>144</v>
      </c>
      <c r="D79" s="81"/>
      <c r="E79" s="217" t="s">
        <v>145</v>
      </c>
      <c r="F79" s="218"/>
      <c r="G79" s="82"/>
      <c r="H79" s="212"/>
    </row>
    <row r="80" spans="1:12" ht="17.100000000000001" hidden="1" customHeight="1" outlineLevel="1">
      <c r="A80" s="214"/>
      <c r="B80" s="86" t="s">
        <v>146</v>
      </c>
      <c r="C80" s="83" t="s">
        <v>147</v>
      </c>
      <c r="D80" s="182" t="str">
        <f>IF(OR(H13=0,E2="RHP"),"",100)</f>
        <v/>
      </c>
      <c r="E80" s="182" t="str">
        <f>IF(OR(H13=0,E2="RHP"),"","SF")</f>
        <v/>
      </c>
      <c r="F80" s="125" t="str">
        <f>IF(OR(H13=0,E2="RHP"),"",8)</f>
        <v/>
      </c>
      <c r="G80" s="122" t="str">
        <f>IF(OR(H13=0,E2="RHP"),"",800)</f>
        <v/>
      </c>
      <c r="H80" s="212"/>
      <c r="L80" s="3"/>
    </row>
    <row r="81" spans="1:12" ht="22.5" hidden="1" customHeight="1" outlineLevel="1">
      <c r="A81" s="214"/>
      <c r="B81" s="181" t="s">
        <v>148</v>
      </c>
      <c r="C81" s="83"/>
      <c r="D81" s="182"/>
      <c r="E81" s="182"/>
      <c r="F81" s="125"/>
      <c r="G81" s="122" t="str">
        <f>IF(B81="Vertical Platform Lift: SELECT FROM DROP DOWN LIST","",IF(B81="Vertical Platform Lift 0 - 4' ",12000,IF(B81="Vertical Platform Lift 4 - 8'",16250,IF(B81="Vertical Platform Lift 8 - 12'",22000))))</f>
        <v/>
      </c>
      <c r="H81" s="212"/>
      <c r="L81" s="3"/>
    </row>
    <row r="82" spans="1:12" ht="17.100000000000001" hidden="1" customHeight="1" outlineLevel="1">
      <c r="A82" s="214"/>
      <c r="B82" s="86" t="s">
        <v>149</v>
      </c>
      <c r="C82" s="83"/>
      <c r="D82" s="182"/>
      <c r="E82" s="182"/>
      <c r="F82" s="125"/>
      <c r="G82" s="21"/>
      <c r="H82" s="212"/>
      <c r="L82" s="3"/>
    </row>
    <row r="83" spans="1:12" ht="17.100000000000001" hidden="1" customHeight="1" outlineLevel="1">
      <c r="A83" s="214"/>
      <c r="B83" s="86" t="s">
        <v>150</v>
      </c>
      <c r="C83" s="83"/>
      <c r="D83" s="19"/>
      <c r="E83" s="185"/>
      <c r="F83" s="26"/>
      <c r="G83" s="21">
        <f>D83*F83</f>
        <v>0</v>
      </c>
      <c r="H83" s="212"/>
    </row>
    <row r="84" spans="1:12" ht="17.100000000000001" hidden="1" customHeight="1" outlineLevel="2">
      <c r="A84" s="214"/>
      <c r="B84" s="86" t="s">
        <v>150</v>
      </c>
      <c r="C84" s="83"/>
      <c r="D84" s="19"/>
      <c r="E84" s="185"/>
      <c r="F84" s="26"/>
      <c r="G84" s="21">
        <f>D84*F84</f>
        <v>0</v>
      </c>
      <c r="H84" s="212"/>
    </row>
    <row r="85" spans="1:12" ht="17.100000000000001" hidden="1" customHeight="1" outlineLevel="2">
      <c r="A85" s="214"/>
      <c r="B85" s="86" t="s">
        <v>150</v>
      </c>
      <c r="C85" s="83"/>
      <c r="D85" s="19"/>
      <c r="E85" s="185"/>
      <c r="F85" s="26"/>
      <c r="G85" s="21">
        <f>D85*F85</f>
        <v>0</v>
      </c>
      <c r="H85" s="212"/>
    </row>
    <row r="86" spans="1:12" ht="17.100000000000001" customHeight="1" collapsed="1">
      <c r="A86" s="60"/>
      <c r="B86" s="213" t="s">
        <v>151</v>
      </c>
      <c r="C86" s="213"/>
      <c r="D86" s="213"/>
      <c r="E86" s="213"/>
      <c r="F86" s="213"/>
      <c r="G86" s="213"/>
      <c r="H86" s="123">
        <f>SUM(G72:G78,G80:G85)</f>
        <v>0</v>
      </c>
    </row>
    <row r="87" spans="1:12" ht="17.100000000000001" customHeight="1" collapsed="1">
      <c r="A87" s="211" t="s">
        <v>152</v>
      </c>
      <c r="B87" s="211"/>
      <c r="C87" s="211"/>
      <c r="D87" s="211"/>
      <c r="E87" s="211"/>
      <c r="F87" s="211"/>
      <c r="G87" s="211"/>
      <c r="H87" s="211"/>
    </row>
    <row r="88" spans="1:12" ht="51" hidden="1" customHeight="1" outlineLevel="1">
      <c r="A88" s="214" t="s">
        <v>103</v>
      </c>
      <c r="B88" s="178" t="s">
        <v>104</v>
      </c>
      <c r="C88" s="178" t="s">
        <v>120</v>
      </c>
      <c r="D88" s="178" t="s">
        <v>136</v>
      </c>
      <c r="E88" s="178" t="s">
        <v>122</v>
      </c>
      <c r="F88" s="178" t="s">
        <v>123</v>
      </c>
      <c r="G88" s="178" t="s">
        <v>108</v>
      </c>
      <c r="H88" s="178" t="s">
        <v>109</v>
      </c>
    </row>
    <row r="89" spans="1:12" ht="17.100000000000001" hidden="1" customHeight="1" outlineLevel="1">
      <c r="A89" s="214"/>
      <c r="B89" s="86" t="s">
        <v>153</v>
      </c>
      <c r="C89" s="181"/>
      <c r="D89" s="19"/>
      <c r="E89" s="19"/>
      <c r="F89" s="26"/>
      <c r="G89" s="21">
        <f>D89*F89</f>
        <v>0</v>
      </c>
      <c r="H89" s="212" t="str">
        <f>IF(H92&gt;20000,"Abatement costs exceed assistance cap, requires GLO approval","")</f>
        <v/>
      </c>
    </row>
    <row r="90" spans="1:12" ht="17.100000000000001" hidden="1" customHeight="1" outlineLevel="1">
      <c r="A90" s="214"/>
      <c r="B90" s="86" t="s">
        <v>154</v>
      </c>
      <c r="C90" s="181"/>
      <c r="D90" s="19"/>
      <c r="E90" s="19"/>
      <c r="F90" s="26"/>
      <c r="G90" s="21">
        <f>D90*F90</f>
        <v>0</v>
      </c>
      <c r="H90" s="212"/>
    </row>
    <row r="91" spans="1:12" ht="17.100000000000001" hidden="1" customHeight="1" outlineLevel="1">
      <c r="A91" s="214"/>
      <c r="B91" s="86" t="s">
        <v>155</v>
      </c>
      <c r="C91" s="181"/>
      <c r="D91" s="19"/>
      <c r="E91" s="19"/>
      <c r="F91" s="26"/>
      <c r="G91" s="21">
        <f>D91*F91</f>
        <v>0</v>
      </c>
      <c r="H91" s="212"/>
    </row>
    <row r="92" spans="1:12" ht="17.100000000000001" customHeight="1" collapsed="1">
      <c r="A92" s="60"/>
      <c r="B92" s="213" t="s">
        <v>156</v>
      </c>
      <c r="C92" s="213"/>
      <c r="D92" s="213"/>
      <c r="E92" s="213"/>
      <c r="F92" s="213"/>
      <c r="G92" s="213"/>
      <c r="H92" s="123">
        <f>SUM(G89:G91)</f>
        <v>0</v>
      </c>
    </row>
    <row r="93" spans="1:12" ht="17.100000000000001" customHeight="1" collapsed="1">
      <c r="A93" s="211" t="s">
        <v>58</v>
      </c>
      <c r="B93" s="211"/>
      <c r="C93" s="211"/>
      <c r="D93" s="211"/>
      <c r="E93" s="211"/>
      <c r="F93" s="211"/>
      <c r="G93" s="211"/>
      <c r="H93" s="211"/>
    </row>
    <row r="94" spans="1:12" ht="51" hidden="1" customHeight="1" outlineLevel="1">
      <c r="A94" s="214" t="s">
        <v>103</v>
      </c>
      <c r="B94" s="178" t="s">
        <v>104</v>
      </c>
      <c r="C94" s="178" t="s">
        <v>120</v>
      </c>
      <c r="D94" s="178" t="s">
        <v>136</v>
      </c>
      <c r="E94" s="178" t="s">
        <v>122</v>
      </c>
      <c r="F94" s="178" t="s">
        <v>123</v>
      </c>
      <c r="G94" s="178" t="s">
        <v>108</v>
      </c>
      <c r="H94" s="178" t="s">
        <v>109</v>
      </c>
    </row>
    <row r="95" spans="1:12" ht="17.100000000000001" hidden="1" customHeight="1" outlineLevel="1">
      <c r="A95" s="214"/>
      <c r="B95" s="86" t="s">
        <v>157</v>
      </c>
      <c r="C95" s="181"/>
      <c r="D95" s="19"/>
      <c r="E95" s="19"/>
      <c r="F95" s="26"/>
      <c r="G95" s="21">
        <f>D95*F95</f>
        <v>0</v>
      </c>
      <c r="H95" s="212" t="str">
        <f>IF(H99&gt;30000,"Water Well costs exceed assistance cap, requires GLO approval","")</f>
        <v/>
      </c>
    </row>
    <row r="96" spans="1:12" ht="17.100000000000001" hidden="1" customHeight="1" outlineLevel="1">
      <c r="A96" s="214"/>
      <c r="B96" s="86" t="s">
        <v>158</v>
      </c>
      <c r="C96" s="181"/>
      <c r="D96" s="19"/>
      <c r="E96" s="19"/>
      <c r="F96" s="26"/>
      <c r="G96" s="21">
        <f>D96*F96</f>
        <v>0</v>
      </c>
      <c r="H96" s="212"/>
    </row>
    <row r="97" spans="1:8" ht="17.100000000000001" hidden="1" customHeight="1" outlineLevel="1">
      <c r="A97" s="214"/>
      <c r="B97" s="86" t="s">
        <v>159</v>
      </c>
      <c r="C97" s="181"/>
      <c r="D97" s="19"/>
      <c r="E97" s="19"/>
      <c r="F97" s="26"/>
      <c r="G97" s="21">
        <f>D97*F97</f>
        <v>0</v>
      </c>
      <c r="H97" s="212"/>
    </row>
    <row r="98" spans="1:8" ht="17.100000000000001" hidden="1" customHeight="1" outlineLevel="1">
      <c r="A98" s="214"/>
      <c r="B98" s="86" t="s">
        <v>160</v>
      </c>
      <c r="C98" s="181"/>
      <c r="D98" s="19"/>
      <c r="E98" s="19"/>
      <c r="F98" s="26"/>
      <c r="G98" s="21">
        <f>D98*F98</f>
        <v>0</v>
      </c>
      <c r="H98" s="212"/>
    </row>
    <row r="99" spans="1:8" ht="17.100000000000001" customHeight="1" collapsed="1">
      <c r="A99" s="60"/>
      <c r="B99" s="213" t="s">
        <v>161</v>
      </c>
      <c r="C99" s="213"/>
      <c r="D99" s="213"/>
      <c r="E99" s="213"/>
      <c r="F99" s="213"/>
      <c r="G99" s="213"/>
      <c r="H99" s="123">
        <f>SUM(G95:G98)</f>
        <v>0</v>
      </c>
    </row>
    <row r="100" spans="1:8" ht="18" customHeight="1" collapsed="1">
      <c r="A100" s="211" t="s">
        <v>61</v>
      </c>
      <c r="B100" s="211"/>
      <c r="C100" s="211"/>
      <c r="D100" s="211"/>
      <c r="E100" s="211"/>
      <c r="F100" s="211"/>
      <c r="G100" s="211"/>
      <c r="H100" s="211"/>
    </row>
    <row r="101" spans="1:8" ht="51" hidden="1" customHeight="1" outlineLevel="1">
      <c r="A101" s="214" t="s">
        <v>103</v>
      </c>
      <c r="B101" s="178" t="s">
        <v>104</v>
      </c>
      <c r="C101" s="178" t="s">
        <v>120</v>
      </c>
      <c r="D101" s="178" t="s">
        <v>136</v>
      </c>
      <c r="E101" s="178" t="s">
        <v>122</v>
      </c>
      <c r="F101" s="178" t="s">
        <v>123</v>
      </c>
      <c r="G101" s="178" t="s">
        <v>108</v>
      </c>
      <c r="H101" s="178" t="s">
        <v>109</v>
      </c>
    </row>
    <row r="102" spans="1:8" ht="17.100000000000001" hidden="1" customHeight="1" outlineLevel="1">
      <c r="A102" s="214"/>
      <c r="B102" s="86" t="s">
        <v>162</v>
      </c>
      <c r="C102" s="181"/>
      <c r="D102" s="19"/>
      <c r="E102" s="19"/>
      <c r="F102" s="26"/>
      <c r="G102" s="21">
        <f>D102*F102</f>
        <v>0</v>
      </c>
      <c r="H102" s="212" t="str">
        <f>IF(H106&gt;25000,"Septic System costs exceed assistance cap, requires GLO approval","")</f>
        <v/>
      </c>
    </row>
    <row r="103" spans="1:8" ht="17.100000000000001" hidden="1" customHeight="1" outlineLevel="1">
      <c r="A103" s="214"/>
      <c r="B103" s="86" t="s">
        <v>163</v>
      </c>
      <c r="C103" s="181"/>
      <c r="D103" s="19"/>
      <c r="E103" s="19"/>
      <c r="F103" s="26"/>
      <c r="G103" s="21">
        <f>D103*F103</f>
        <v>0</v>
      </c>
      <c r="H103" s="212"/>
    </row>
    <row r="104" spans="1:8" ht="17.100000000000001" hidden="1" customHeight="1" outlineLevel="1">
      <c r="A104" s="214"/>
      <c r="B104" s="86" t="s">
        <v>164</v>
      </c>
      <c r="C104" s="181"/>
      <c r="D104" s="19"/>
      <c r="E104" s="19"/>
      <c r="F104" s="26"/>
      <c r="G104" s="21">
        <f>D104*F104</f>
        <v>0</v>
      </c>
      <c r="H104" s="212"/>
    </row>
    <row r="105" spans="1:8" ht="17.100000000000001" hidden="1" customHeight="1" outlineLevel="1">
      <c r="A105" s="214"/>
      <c r="B105" s="89" t="s">
        <v>165</v>
      </c>
      <c r="C105" s="181"/>
      <c r="D105" s="19"/>
      <c r="E105" s="19"/>
      <c r="F105" s="26"/>
      <c r="G105" s="21">
        <f>D105*F105</f>
        <v>0</v>
      </c>
      <c r="H105" s="212"/>
    </row>
    <row r="106" spans="1:8" ht="17.100000000000001" customHeight="1" collapsed="1">
      <c r="A106" s="60"/>
      <c r="B106" s="213" t="s">
        <v>166</v>
      </c>
      <c r="C106" s="213"/>
      <c r="D106" s="213"/>
      <c r="E106" s="213"/>
      <c r="F106" s="213"/>
      <c r="G106" s="213"/>
      <c r="H106" s="123">
        <f>SUM(G102:G105)</f>
        <v>0</v>
      </c>
    </row>
    <row r="107" spans="1:8" ht="18" customHeight="1" collapsed="1">
      <c r="A107" s="211" t="s">
        <v>167</v>
      </c>
      <c r="B107" s="211"/>
      <c r="C107" s="211"/>
      <c r="D107" s="211"/>
      <c r="E107" s="211"/>
      <c r="F107" s="211"/>
      <c r="G107" s="211"/>
      <c r="H107" s="211"/>
    </row>
    <row r="108" spans="1:8" ht="51" hidden="1" customHeight="1" outlineLevel="1">
      <c r="A108" s="214" t="s">
        <v>103</v>
      </c>
      <c r="B108" s="178" t="s">
        <v>104</v>
      </c>
      <c r="C108" s="90" t="s">
        <v>168</v>
      </c>
      <c r="D108" s="178" t="s">
        <v>136</v>
      </c>
      <c r="E108" s="178" t="s">
        <v>122</v>
      </c>
      <c r="F108" s="178" t="s">
        <v>123</v>
      </c>
      <c r="G108" s="178" t="s">
        <v>169</v>
      </c>
      <c r="H108" s="178" t="s">
        <v>109</v>
      </c>
    </row>
    <row r="109" spans="1:8" hidden="1" outlineLevel="1">
      <c r="A109" s="214"/>
      <c r="B109" s="181" t="s">
        <v>124</v>
      </c>
      <c r="C109" s="27"/>
      <c r="D109" s="19"/>
      <c r="E109" s="182" t="str">
        <f>IF(OR($B109="SELECT ITEM FROM DROP DOWN LIST",B109=""),"",VLOOKUP($B109,Supplement!$B$2:$E$128,3,FALSE))</f>
        <v/>
      </c>
      <c r="F109" s="119" t="str">
        <f>IF(OR($B109="SELECT ITEM FROM DROP DOWN LIST",B109=""),"",VLOOKUP($B109,Supplement!$B$2:$E$128,4,FALSE))</f>
        <v/>
      </c>
      <c r="G109" s="122" t="str">
        <f>IF(OR(B109="SELECT ITEM FROM DROP DOWN LIST",B109=""),"",ROUND(IF(OR(B109="City Code Requirement: Brick siding with reduction",B109="HOA Code Requirement: Brick siding with reduction"),(F109*D109),IF(OR(B109="City Code Requirement: Stucco with reduction",B109="City Code Requirement: Stucco Skirting",B109="HOA Code Requirement: Stucco with reduction",B109="HOA Code Requirement: Stucco Skirting",B109="City Code Requirement: Brick Skirting",B109="HOA Code Requirement: Brick skirting",B109="city code requirement: garage",B109="city code requirement: shed",B109="City Code Requirement: Sod (Pallets)",B109="City Code Requirement: Sod (SF)",B109="city code requirement: hardi plank skirting",B109="hoa code requirement: garage",B109="hoa code requirement: sod",B109="hoa code requirement: hardi plank skirting",B109="HOA Code Requirement: Sod (Pallets)",B109="HOA Code Requirement: Sod (SF)",B109="City Code Requirement: Skirting Accomodations",B109="HOA Code Requirement: Skirting Accomodations"),D109*F109,VLOOKUP(B109,Supplement!$B$2:$F$128,5,FALSE))),0))</f>
        <v/>
      </c>
      <c r="H109" s="244"/>
    </row>
    <row r="110" spans="1:8" ht="17.100000000000001" hidden="1" customHeight="1" outlineLevel="1" collapsed="1">
      <c r="A110" s="214"/>
      <c r="B110" s="181" t="s">
        <v>124</v>
      </c>
      <c r="C110" s="27"/>
      <c r="D110" s="19"/>
      <c r="E110" s="182" t="str">
        <f>IF(OR($B110="SELECT ITEM FROM DROP DOWN LIST",B110=""),"",VLOOKUP($B110,Supplement!$B$2:$E$128,3,FALSE))</f>
        <v/>
      </c>
      <c r="F110" s="119" t="str">
        <f>IF(OR($B110="SELECT ITEM FROM DROP DOWN LIST",B110=""),"",VLOOKUP($B110,Supplement!$B$2:$E$128,4,FALSE))</f>
        <v/>
      </c>
      <c r="G110" s="122" t="str">
        <f>IF(OR(B110="SELECT ITEM FROM DROP DOWN LIST",B110=""),"",ROUND(IF(OR(B110="City Code Requirement: Brick siding with reduction",B110="HOA Code Requirement: Brick siding with reduction"),(F110*D110),IF(OR(B110="City Code Requirement: Stucco with reduction",B110="City Code Requirement: Stucco Skirting",B110="HOA Code Requirement: Stucco with reduction",B110="HOA Code Requirement: Stucco Skirting",B110="City Code Requirement: Brick Skirting",B110="HOA Code Requirement: Brick skirting",B110="city code requirement: garage",B110="city code requirement: shed",B110="City Code Requirement: Sod (Pallets)",B110="City Code Requirement: Sod (SF)",B110="city code requirement: hardi plank skirting",B110="hoa code requirement: garage",B110="hoa code requirement: sod",B110="hoa code requirement: hardi plank skirting",B110="HOA Code Requirement: Sod (Pallets)",B110="HOA Code Requirement: Sod (SF)",B110="City Code Requirement: Skirting Accomodations",B110="HOA Code Requirement: Skirting Accomodations"),D110*F110,VLOOKUP(B110,Supplement!$B$2:$F$128,5,FALSE))),0))</f>
        <v/>
      </c>
      <c r="H110" s="244"/>
    </row>
    <row r="111" spans="1:8" ht="17.100000000000001" hidden="1" customHeight="1" outlineLevel="2">
      <c r="A111" s="214"/>
      <c r="B111" s="181" t="s">
        <v>124</v>
      </c>
      <c r="C111" s="27"/>
      <c r="D111" s="19"/>
      <c r="E111" s="182" t="str">
        <f>IF(OR($B111="SELECT ITEM FROM DROP DOWN LIST",B111=""),"",VLOOKUP($B111,Supplement!$B$2:$E$128,3,FALSE))</f>
        <v/>
      </c>
      <c r="F111" s="119" t="str">
        <f>IF(OR($B111="SELECT ITEM FROM DROP DOWN LIST",B111=""),"",VLOOKUP($B111,Supplement!$B$2:$E$128,4,FALSE))</f>
        <v/>
      </c>
      <c r="G111" s="122" t="str">
        <f>IF(OR(B111="SELECT ITEM FROM DROP DOWN LIST",B111=""),"",ROUND(IF(OR(B111="City Code Requirement: Brick siding with reduction",B111="HOA Code Requirement: Brick siding with reduction"),(F111*D111),IF(OR(B111="City Code Requirement: Stucco with reduction",B111="City Code Requirement: Stucco Skirting",B111="HOA Code Requirement: Stucco with reduction",B111="HOA Code Requirement: Stucco Skirting",B111="City Code Requirement: Brick Skirting",B111="HOA Code Requirement: Brick skirting",B111="city code requirement: garage",B111="city code requirement: shed",B111="City Code Requirement: Sod (Pallets)",B111="City Code Requirement: Sod (SF)",B111="city code requirement: hardi plank skirting",B111="hoa code requirement: garage",B111="hoa code requirement: sod",B111="hoa code requirement: hardi plank skirting",B111="HOA Code Requirement: Sod (Pallets)",B111="HOA Code Requirement: Sod (SF)",B111="City Code Requirement: Skirting Accomodations",B111="HOA Code Requirement: Skirting Accomodations"),D111*F111,VLOOKUP(B111,Supplement!$B$2:$F$128,5,FALSE))),0))</f>
        <v/>
      </c>
      <c r="H111" s="244"/>
    </row>
    <row r="112" spans="1:8" ht="17.100000000000001" hidden="1" customHeight="1" outlineLevel="2">
      <c r="A112" s="214"/>
      <c r="B112" s="181" t="s">
        <v>124</v>
      </c>
      <c r="C112" s="27"/>
      <c r="D112" s="19"/>
      <c r="E112" s="182" t="str">
        <f>IF(OR($B112="SELECT ITEM FROM DROP DOWN LIST",B112=""),"",VLOOKUP($B112,Supplement!$B$2:$E$128,3,FALSE))</f>
        <v/>
      </c>
      <c r="F112" s="119" t="str">
        <f>IF(OR($B112="SELECT ITEM FROM DROP DOWN LIST",B112=""),"",VLOOKUP($B112,Supplement!$B$2:$E$128,4,FALSE))</f>
        <v/>
      </c>
      <c r="G112" s="122" t="str">
        <f>IF(OR(B112="SELECT ITEM FROM DROP DOWN LIST",B112=""),"",ROUND(IF(OR(B112="City Code Requirement: Brick siding with reduction",B112="HOA Code Requirement: Brick siding with reduction"),(F112*D112),IF(OR(B112="City Code Requirement: Stucco with reduction",B112="City Code Requirement: Stucco Skirting",B112="HOA Code Requirement: Stucco with reduction",B112="HOA Code Requirement: Stucco Skirting",B112="City Code Requirement: Brick Skirting",B112="HOA Code Requirement: Brick skirting",B112="city code requirement: garage",B112="city code requirement: shed",B112="City Code Requirement: Sod (Pallets)",B112="City Code Requirement: Sod (SF)",B112="city code requirement: hardi plank skirting",B112="hoa code requirement: garage",B112="hoa code requirement: sod",B112="hoa code requirement: hardi plank skirting",B112="HOA Code Requirement: Sod (Pallets)",B112="HOA Code Requirement: Sod (SF)",B112="City Code Requirement: Skirting Accomodations",B112="HOA Code Requirement: Skirting Accomodations"),D112*F112,VLOOKUP(B112,Supplement!$B$2:$F$128,5,FALSE))),0))</f>
        <v/>
      </c>
      <c r="H112" s="244"/>
    </row>
    <row r="113" spans="1:9" ht="17.100000000000001" hidden="1" customHeight="1" outlineLevel="2">
      <c r="A113" s="214"/>
      <c r="B113" s="181" t="s">
        <v>124</v>
      </c>
      <c r="C113" s="27"/>
      <c r="D113" s="19"/>
      <c r="E113" s="182" t="str">
        <f>IF(OR($B113="SELECT ITEM FROM DROP DOWN LIST",B113=""),"",VLOOKUP($B113,Supplement!$B$2:$E$128,3,FALSE))</f>
        <v/>
      </c>
      <c r="F113" s="119" t="str">
        <f>IF(OR($B113="SELECT ITEM FROM DROP DOWN LIST",B113=""),"",VLOOKUP($B113,Supplement!$B$2:$E$128,4,FALSE))</f>
        <v/>
      </c>
      <c r="G113" s="122" t="str">
        <f>IF(OR(B113="SELECT ITEM FROM DROP DOWN LIST",B113=""),"",ROUND(IF(OR(B113="City Code Requirement: Brick siding with reduction",B113="HOA Code Requirement: Brick siding with reduction"),(F113*D113),IF(OR(B113="City Code Requirement: Stucco with reduction",B113="City Code Requirement: Stucco Skirting",B113="HOA Code Requirement: Stucco with reduction",B113="HOA Code Requirement: Stucco Skirting",B113="City Code Requirement: Brick Skirting",B113="HOA Code Requirement: Brick skirting",B113="city code requirement: garage",B113="city code requirement: shed",B113="City Code Requirement: Sod (Pallets)",B113="City Code Requirement: Sod (SF)",B113="city code requirement: hardi plank skirting",B113="hoa code requirement: garage",B113="hoa code requirement: sod",B113="hoa code requirement: hardi plank skirting",B113="HOA Code Requirement: Sod (Pallets)",B113="HOA Code Requirement: Sod (SF)",B113="City Code Requirement: Skirting Accomodations",B113="HOA Code Requirement: Skirting Accomodations"),D113*F113,VLOOKUP(B113,Supplement!$B$2:$F$128,5,FALSE))),0))</f>
        <v/>
      </c>
      <c r="H113" s="244"/>
    </row>
    <row r="114" spans="1:9" ht="17.100000000000001" hidden="1" customHeight="1" outlineLevel="1">
      <c r="A114" s="214"/>
      <c r="B114" s="86" t="s">
        <v>170</v>
      </c>
      <c r="C114" s="27"/>
      <c r="D114" s="19"/>
      <c r="E114" s="19"/>
      <c r="F114" s="26"/>
      <c r="G114" s="106">
        <f t="shared" ref="G114:G119" si="2">D114*F114</f>
        <v>0</v>
      </c>
      <c r="H114" s="244"/>
    </row>
    <row r="115" spans="1:9" ht="17.100000000000001" hidden="1" customHeight="1" outlineLevel="1" collapsed="1">
      <c r="A115" s="214"/>
      <c r="B115" s="86" t="s">
        <v>170</v>
      </c>
      <c r="C115" s="27"/>
      <c r="D115" s="19"/>
      <c r="E115" s="19"/>
      <c r="F115" s="26"/>
      <c r="G115" s="106">
        <f t="shared" si="2"/>
        <v>0</v>
      </c>
      <c r="H115" s="244"/>
    </row>
    <row r="116" spans="1:9" ht="17.100000000000001" hidden="1" customHeight="1" outlineLevel="2">
      <c r="A116" s="214"/>
      <c r="B116" s="86" t="s">
        <v>170</v>
      </c>
      <c r="C116" s="27"/>
      <c r="D116" s="19"/>
      <c r="E116" s="19"/>
      <c r="F116" s="26"/>
      <c r="G116" s="106">
        <f t="shared" si="2"/>
        <v>0</v>
      </c>
      <c r="H116" s="244"/>
    </row>
    <row r="117" spans="1:9" ht="17.100000000000001" hidden="1" customHeight="1" outlineLevel="2">
      <c r="A117" s="214"/>
      <c r="B117" s="86" t="s">
        <v>170</v>
      </c>
      <c r="C117" s="27"/>
      <c r="D117" s="19"/>
      <c r="E117" s="19"/>
      <c r="F117" s="26"/>
      <c r="G117" s="106">
        <f t="shared" si="2"/>
        <v>0</v>
      </c>
      <c r="H117" s="244"/>
    </row>
    <row r="118" spans="1:9" ht="17.100000000000001" hidden="1" customHeight="1" outlineLevel="2">
      <c r="A118" s="214"/>
      <c r="B118" s="86" t="s">
        <v>170</v>
      </c>
      <c r="C118" s="27"/>
      <c r="D118" s="19"/>
      <c r="E118" s="19"/>
      <c r="F118" s="26"/>
      <c r="G118" s="106">
        <f t="shared" si="2"/>
        <v>0</v>
      </c>
      <c r="H118" s="244"/>
    </row>
    <row r="119" spans="1:9" ht="17.100000000000001" hidden="1" customHeight="1" outlineLevel="2">
      <c r="A119" s="214"/>
      <c r="B119" s="86" t="s">
        <v>170</v>
      </c>
      <c r="C119" s="27"/>
      <c r="D119" s="19"/>
      <c r="E119" s="19"/>
      <c r="F119" s="26"/>
      <c r="G119" s="106">
        <f t="shared" si="2"/>
        <v>0</v>
      </c>
      <c r="H119" s="244"/>
    </row>
    <row r="120" spans="1:9" ht="17.100000000000001" customHeight="1" collapsed="1">
      <c r="A120" s="60"/>
      <c r="B120" s="213" t="s">
        <v>171</v>
      </c>
      <c r="C120" s="213"/>
      <c r="D120" s="213"/>
      <c r="E120" s="213"/>
      <c r="F120" s="213"/>
      <c r="G120" s="213"/>
      <c r="H120" s="126">
        <f>SUM(G109:G119)</f>
        <v>0</v>
      </c>
    </row>
    <row r="121" spans="1:9" ht="18" customHeight="1" collapsed="1">
      <c r="A121" s="211" t="s">
        <v>172</v>
      </c>
      <c r="B121" s="211"/>
      <c r="C121" s="211"/>
      <c r="D121" s="211"/>
      <c r="E121" s="211"/>
      <c r="F121" s="211"/>
      <c r="G121" s="211"/>
      <c r="H121" s="211"/>
    </row>
    <row r="122" spans="1:9" ht="51" hidden="1" customHeight="1" outlineLevel="1">
      <c r="A122" s="214" t="s">
        <v>103</v>
      </c>
      <c r="B122" s="178" t="s">
        <v>104</v>
      </c>
      <c r="C122" s="178" t="s">
        <v>120</v>
      </c>
      <c r="D122" s="178" t="s">
        <v>173</v>
      </c>
      <c r="E122" s="178" t="s">
        <v>122</v>
      </c>
      <c r="F122" s="178" t="s">
        <v>123</v>
      </c>
      <c r="G122" s="178" t="s">
        <v>108</v>
      </c>
      <c r="H122" s="178" t="s">
        <v>109</v>
      </c>
    </row>
    <row r="123" spans="1:9" ht="17.100000000000001" hidden="1" customHeight="1" outlineLevel="1">
      <c r="A123" s="214"/>
      <c r="B123" s="86" t="s">
        <v>174</v>
      </c>
      <c r="C123" s="181"/>
      <c r="D123" s="182"/>
      <c r="E123" s="182"/>
      <c r="F123" s="125"/>
      <c r="G123" s="117" t="str">
        <f>IF(OR(E2="RHP",H13=0),"",600)</f>
        <v/>
      </c>
      <c r="H123" s="212"/>
    </row>
    <row r="124" spans="1:9" ht="17.100000000000001" hidden="1" customHeight="1" outlineLevel="1">
      <c r="A124" s="214"/>
      <c r="B124" s="86" t="s">
        <v>175</v>
      </c>
      <c r="C124" s="181"/>
      <c r="D124" s="182" t="str">
        <f>IF(H13=0,"",SUMIFS(ProjectInfoCompPrice!W4:W188,ProjectInfoCompPrice!T4:T188,ProjectInfoCompPrice!AA2,ProjectInfoCompPrice!R4:R188,LEFT(C11,FIND(" ",C11)-1)))</f>
        <v/>
      </c>
      <c r="E124" s="182" t="str">
        <f>IF(H13=0,"","LF")</f>
        <v/>
      </c>
      <c r="F124" s="125" t="str">
        <f>IF(H13=0,"",10)</f>
        <v/>
      </c>
      <c r="G124" s="117" t="str">
        <f>IF(H13=0,"",D124*F124)</f>
        <v/>
      </c>
      <c r="H124" s="212"/>
    </row>
    <row r="125" spans="1:9" ht="17.100000000000001" hidden="1" customHeight="1" outlineLevel="1">
      <c r="A125" s="214"/>
      <c r="B125" s="86" t="s">
        <v>176</v>
      </c>
      <c r="C125" s="181"/>
      <c r="D125" s="19"/>
      <c r="E125" s="19"/>
      <c r="F125" s="26"/>
      <c r="G125" s="21">
        <f>D125*F125</f>
        <v>0</v>
      </c>
      <c r="H125" s="212"/>
    </row>
    <row r="126" spans="1:9" ht="17.100000000000001" customHeight="1" collapsed="1">
      <c r="A126" s="60"/>
      <c r="B126" s="213" t="s">
        <v>177</v>
      </c>
      <c r="C126" s="213"/>
      <c r="D126" s="213"/>
      <c r="E126" s="213"/>
      <c r="F126" s="213"/>
      <c r="G126" s="213"/>
      <c r="H126" s="127">
        <f>SUM(G123:G125)</f>
        <v>0</v>
      </c>
    </row>
    <row r="127" spans="1:9" ht="21" customHeight="1" collapsed="1">
      <c r="A127" s="211" t="s">
        <v>178</v>
      </c>
      <c r="B127" s="211"/>
      <c r="C127" s="211"/>
      <c r="D127" s="211"/>
      <c r="E127" s="211"/>
      <c r="F127" s="211"/>
      <c r="G127" s="211"/>
      <c r="H127" s="211"/>
      <c r="I127" s="69"/>
    </row>
    <row r="128" spans="1:9" ht="35.25" hidden="1" customHeight="1" outlineLevel="1">
      <c r="A128" s="214" t="s">
        <v>103</v>
      </c>
      <c r="B128" s="178" t="s">
        <v>104</v>
      </c>
      <c r="C128" s="178" t="s">
        <v>179</v>
      </c>
      <c r="D128" s="221" t="s">
        <v>180</v>
      </c>
      <c r="E128" s="221"/>
      <c r="F128" s="221"/>
      <c r="G128" s="178" t="s">
        <v>108</v>
      </c>
      <c r="H128" s="178" t="s">
        <v>109</v>
      </c>
    </row>
    <row r="129" spans="1:8" ht="17.100000000000001" hidden="1" customHeight="1" outlineLevel="1">
      <c r="A129" s="214"/>
      <c r="B129" s="86" t="s">
        <v>181</v>
      </c>
      <c r="C129" s="184" t="s">
        <v>131</v>
      </c>
      <c r="D129" s="231"/>
      <c r="E129" s="231"/>
      <c r="F129" s="231"/>
      <c r="G129" s="122" t="str">
        <f>IF(OR(C129="select from drop down list",C129=""),"",IF(H18&gt;0,"",IF(C129="Yes",1500,0)))</f>
        <v/>
      </c>
      <c r="H129" s="212" t="str">
        <f>IF(H18&gt;0,"Rehab projects are eligible for $7,000 in builder soft costs",IF(AND(H18=0,H135&gt;10000),"Project soft costs exceed assistance cap, requires GLO approval",""))</f>
        <v/>
      </c>
    </row>
    <row r="130" spans="1:8" ht="17.100000000000001" hidden="1" customHeight="1" outlineLevel="1">
      <c r="A130" s="214"/>
      <c r="B130" s="86" t="s">
        <v>182</v>
      </c>
      <c r="C130" s="184" t="s">
        <v>131</v>
      </c>
      <c r="D130" s="231"/>
      <c r="E130" s="231"/>
      <c r="F130" s="231"/>
      <c r="G130" s="122" t="str">
        <f>IF(OR(C130="select from drop down list",C130=""),"",IF(H18&gt;0,"",IF(C130="Yes",2000,0)))</f>
        <v/>
      </c>
      <c r="H130" s="212"/>
    </row>
    <row r="131" spans="1:8" ht="17.100000000000001" hidden="1" customHeight="1" outlineLevel="1">
      <c r="A131" s="214"/>
      <c r="B131" s="86" t="s">
        <v>183</v>
      </c>
      <c r="C131" s="128" t="str">
        <f>IF(C129="SELECT FROM DROP DOWN LIST","",IF(AND(OR(G4="Kleberg",G4="Nueces",G4="San Patricio",G4="Aransas",G4="Refugio",G4="Calhoun",G4="Matagorda",G4="Brazoria",G4="Galveston",G4="Chambers",G4="Jefferson",G4="Cameron-18-19",G4="Willacy-18-19",G4="Jefferson-18-19",G4="Chambers-18-19",G4="Harris-18-19 (Windstorm)"),C129="Yes"),"Yes","No"))</f>
        <v/>
      </c>
      <c r="D131" s="231"/>
      <c r="E131" s="231"/>
      <c r="F131" s="231"/>
      <c r="G131" s="122" t="str">
        <f>IF(C131="","",IF(H18&gt;0,"",IF(C131="Yes",2000,0)))</f>
        <v/>
      </c>
      <c r="H131" s="212"/>
    </row>
    <row r="132" spans="1:8" ht="17.100000000000001" hidden="1" customHeight="1" outlineLevel="1">
      <c r="A132" s="214"/>
      <c r="B132" s="86" t="s">
        <v>184</v>
      </c>
      <c r="C132" s="129" t="str">
        <f>IF(C129="SELECT FROM DROP DOWN LIST","",IF(C129="Yes","Yes","No"))</f>
        <v/>
      </c>
      <c r="D132" s="231"/>
      <c r="E132" s="231"/>
      <c r="F132" s="231"/>
      <c r="G132" s="122" t="str">
        <f>IF(C132="","",IF(H18&gt;0,"",IF(C132="Yes",100,0)))</f>
        <v/>
      </c>
      <c r="H132" s="212"/>
    </row>
    <row r="133" spans="1:8" ht="17.100000000000001" hidden="1" customHeight="1" outlineLevel="1">
      <c r="A133" s="214"/>
      <c r="B133" s="86" t="s">
        <v>185</v>
      </c>
      <c r="C133" s="130"/>
      <c r="D133" s="231"/>
      <c r="E133" s="231"/>
      <c r="F133" s="231"/>
      <c r="G133" s="106">
        <v>0</v>
      </c>
      <c r="H133" s="212"/>
    </row>
    <row r="134" spans="1:8" ht="17.100000000000001" hidden="1" customHeight="1" outlineLevel="1">
      <c r="A134" s="214"/>
      <c r="B134" s="86" t="s">
        <v>185</v>
      </c>
      <c r="C134" s="130"/>
      <c r="D134" s="231"/>
      <c r="E134" s="231"/>
      <c r="F134" s="231"/>
      <c r="G134" s="106">
        <v>0</v>
      </c>
      <c r="H134" s="212"/>
    </row>
    <row r="135" spans="1:8" ht="17.100000000000001" customHeight="1" collapsed="1">
      <c r="A135" s="60"/>
      <c r="B135" s="213" t="s">
        <v>186</v>
      </c>
      <c r="C135" s="213"/>
      <c r="D135" s="213"/>
      <c r="E135" s="213"/>
      <c r="F135" s="213"/>
      <c r="G135" s="213"/>
      <c r="H135" s="123">
        <f>IF(H18&gt;0,7000,SUM(G129:G134))</f>
        <v>0</v>
      </c>
    </row>
    <row r="136" spans="1:8" ht="22.5" customHeight="1" collapsed="1">
      <c r="A136" s="211" t="s">
        <v>187</v>
      </c>
      <c r="B136" s="211"/>
      <c r="C136" s="211"/>
      <c r="D136" s="211"/>
      <c r="E136" s="211"/>
      <c r="F136" s="211"/>
      <c r="G136" s="211"/>
      <c r="H136" s="211"/>
    </row>
    <row r="137" spans="1:8" ht="36" hidden="1" customHeight="1" outlineLevel="1">
      <c r="A137" s="214" t="s">
        <v>103</v>
      </c>
      <c r="B137" s="178" t="s">
        <v>104</v>
      </c>
      <c r="C137" s="221" t="s">
        <v>188</v>
      </c>
      <c r="D137" s="221"/>
      <c r="E137" s="221"/>
      <c r="F137" s="221"/>
      <c r="G137" s="178" t="s">
        <v>108</v>
      </c>
      <c r="H137" s="178" t="s">
        <v>109</v>
      </c>
    </row>
    <row r="138" spans="1:8" ht="17.100000000000001" hidden="1" customHeight="1" outlineLevel="1">
      <c r="A138" s="214"/>
      <c r="B138" s="86" t="s">
        <v>189</v>
      </c>
      <c r="C138" s="255" t="s">
        <v>190</v>
      </c>
      <c r="D138" s="255"/>
      <c r="E138" s="255"/>
      <c r="F138" s="255"/>
      <c r="G138" s="117" t="str">
        <f>IF(H13+H18=0,"",IF(H18&gt;0,"",IF(E3="Yes",IF(H13&gt;0,VLOOKUP(G4,ProjectInfoCompPrice!A66:F77,5,FALSE),0),IF(H13&gt;0,VLOOKUP(G4,ProjectInfoCompPrice!A3:F62,5,FALSE),0))))</f>
        <v/>
      </c>
      <c r="H138" s="212" t="str">
        <f>IF(AND(H18&gt;0,G140&lt;=6000),"Set up and inspection costs are included in the Subtotal row for Rehab projects",IF(AND(H18&gt;0,G140&gt;6000),"Relocation costs exceed cap, requires GLO approval
Set up and inspection costs are included in the Subtotal row for Rehab projects",IF(G140&gt;6000,"Relocation costs exceed assistance cap, requires GLO approval","")))</f>
        <v/>
      </c>
    </row>
    <row r="139" spans="1:8" ht="17.100000000000001" hidden="1" customHeight="1" outlineLevel="1">
      <c r="A139" s="214"/>
      <c r="B139" s="86" t="s">
        <v>191</v>
      </c>
      <c r="C139" s="255" t="s">
        <v>190</v>
      </c>
      <c r="D139" s="255"/>
      <c r="E139" s="255"/>
      <c r="F139" s="255"/>
      <c r="G139" s="117" t="str">
        <f>IF(H13+H18=0,"",IF(H18&gt;0,"",IF(E3="Yes",IF(H13&gt;0,VLOOKUP(G4,ProjectInfoCompPrice!A66:F77,6,FALSE),0),IF(H13&gt;0,VLOOKUP(G4,ProjectInfoCompPrice!A3:F62,6,FALSE),0))))</f>
        <v/>
      </c>
      <c r="H139" s="212"/>
    </row>
    <row r="140" spans="1:8" ht="17.100000000000001" hidden="1" customHeight="1" outlineLevel="1">
      <c r="A140" s="214"/>
      <c r="B140" s="86" t="s">
        <v>192</v>
      </c>
      <c r="C140" s="256"/>
      <c r="D140" s="256"/>
      <c r="E140" s="256"/>
      <c r="F140" s="256"/>
      <c r="G140" s="21">
        <v>0</v>
      </c>
      <c r="H140" s="212"/>
    </row>
    <row r="141" spans="1:8" ht="17.100000000000001" hidden="1" customHeight="1" outlineLevel="1">
      <c r="A141" s="214"/>
      <c r="B141" s="86" t="s">
        <v>193</v>
      </c>
      <c r="C141" s="257"/>
      <c r="D141" s="257"/>
      <c r="E141" s="257"/>
      <c r="F141" s="257"/>
      <c r="G141" s="21">
        <v>0</v>
      </c>
      <c r="H141" s="212"/>
    </row>
    <row r="142" spans="1:8" ht="17.100000000000001" customHeight="1" collapsed="1">
      <c r="A142" s="60"/>
      <c r="B142" s="213" t="s">
        <v>194</v>
      </c>
      <c r="C142" s="213"/>
      <c r="D142" s="213"/>
      <c r="E142" s="213"/>
      <c r="F142" s="213"/>
      <c r="G142" s="213"/>
      <c r="H142" s="123">
        <f>IF(AND(G4&lt;&gt;"select from drop down",H18&gt;0),SUM(G138:G141)+VLOOKUP(G4,ProjectInfoCompPrice!A3:G62,7,FALSE),SUM(G138:G141))</f>
        <v>0</v>
      </c>
    </row>
    <row r="143" spans="1:8" ht="18.95" customHeight="1">
      <c r="A143" s="211" t="s">
        <v>195</v>
      </c>
      <c r="B143" s="211"/>
      <c r="C143" s="211"/>
      <c r="D143" s="211"/>
      <c r="E143" s="211"/>
      <c r="F143" s="211"/>
      <c r="G143" s="211"/>
      <c r="H143" s="211"/>
    </row>
    <row r="144" spans="1:8" ht="13.5" customHeight="1">
      <c r="A144" s="214"/>
      <c r="B144" s="233" t="s">
        <v>196</v>
      </c>
      <c r="C144" s="233"/>
      <c r="D144" s="233"/>
      <c r="E144" s="233"/>
      <c r="F144" s="233"/>
      <c r="G144" s="233"/>
      <c r="H144" s="131">
        <f>H13+H18+H43+H50+H69+H86+H92+H99+H106+H120+H126+H135+H142</f>
        <v>0</v>
      </c>
    </row>
    <row r="145" spans="1:8" ht="13.5" customHeight="1">
      <c r="A145" s="214"/>
      <c r="B145" s="233" t="s">
        <v>197</v>
      </c>
      <c r="C145" s="233"/>
      <c r="D145" s="233"/>
      <c r="E145" s="233"/>
      <c r="F145" s="233"/>
      <c r="G145" s="233"/>
      <c r="H145" s="23"/>
    </row>
    <row r="146" spans="1:8" ht="18" customHeight="1" thickBot="1">
      <c r="A146" s="214"/>
      <c r="B146" s="240" t="s">
        <v>198</v>
      </c>
      <c r="C146" s="240"/>
      <c r="D146" s="240"/>
      <c r="E146" s="240"/>
      <c r="F146" s="240"/>
      <c r="G146" s="240"/>
      <c r="H146" s="132">
        <f>H144-H145</f>
        <v>0</v>
      </c>
    </row>
    <row r="147" spans="1:8" ht="15.75" customHeight="1" thickBot="1">
      <c r="A147" s="261" t="s">
        <v>199</v>
      </c>
      <c r="B147" s="262"/>
      <c r="C147" s="262"/>
      <c r="D147" s="262"/>
      <c r="E147" s="262"/>
      <c r="F147" s="262"/>
      <c r="G147" s="262"/>
      <c r="H147" s="263"/>
    </row>
    <row r="148" spans="1:8">
      <c r="A148" s="234" t="s">
        <v>200</v>
      </c>
      <c r="B148" s="235"/>
      <c r="C148" s="235"/>
      <c r="D148" s="235"/>
      <c r="E148" s="235"/>
      <c r="F148" s="235"/>
      <c r="G148" s="235"/>
      <c r="H148" s="236"/>
    </row>
    <row r="149" spans="1:8" ht="36.75" customHeight="1" thickBot="1">
      <c r="A149" s="237" t="s">
        <v>201</v>
      </c>
      <c r="B149" s="238"/>
      <c r="C149" s="238"/>
      <c r="D149" s="238"/>
      <c r="E149" s="238"/>
      <c r="F149" s="238"/>
      <c r="G149" s="238"/>
      <c r="H149" s="239"/>
    </row>
    <row r="150" spans="1:8" ht="15.75" customHeight="1" thickBot="1">
      <c r="A150" s="264" t="s">
        <v>202</v>
      </c>
      <c r="B150" s="265"/>
      <c r="C150" s="265"/>
      <c r="D150" s="265"/>
      <c r="E150" s="265"/>
      <c r="F150" s="265"/>
      <c r="G150" s="265"/>
      <c r="H150" s="266"/>
    </row>
    <row r="151" spans="1:8" ht="27.75" customHeight="1" thickBot="1">
      <c r="A151" s="258" t="s">
        <v>203</v>
      </c>
      <c r="B151" s="259"/>
      <c r="C151" s="259"/>
      <c r="D151" s="259"/>
      <c r="E151" s="259"/>
      <c r="F151" s="259"/>
      <c r="G151" s="259"/>
      <c r="H151" s="260"/>
    </row>
    <row r="152" spans="1:8" ht="36" customHeight="1" thickBot="1">
      <c r="A152" s="245" t="s">
        <v>204</v>
      </c>
      <c r="B152" s="246"/>
      <c r="C152" s="247"/>
      <c r="D152" s="248"/>
      <c r="E152" s="248"/>
      <c r="F152" s="249"/>
      <c r="G152" s="134" t="s">
        <v>205</v>
      </c>
      <c r="H152" s="133"/>
    </row>
    <row r="153" spans="1:8" ht="15.75" customHeight="1" thickBot="1">
      <c r="A153" s="264" t="s">
        <v>206</v>
      </c>
      <c r="B153" s="265"/>
      <c r="C153" s="265"/>
      <c r="D153" s="265"/>
      <c r="E153" s="265"/>
      <c r="F153" s="265"/>
      <c r="G153" s="265"/>
      <c r="H153" s="266"/>
    </row>
    <row r="154" spans="1:8" ht="36" customHeight="1" thickBot="1">
      <c r="A154" s="245" t="s">
        <v>204</v>
      </c>
      <c r="B154" s="246"/>
      <c r="C154" s="247"/>
      <c r="D154" s="248"/>
      <c r="E154" s="248"/>
      <c r="F154" s="249"/>
      <c r="G154" s="134" t="s">
        <v>205</v>
      </c>
      <c r="H154" s="133"/>
    </row>
    <row r="155" spans="1:8" ht="36.6" customHeight="1" thickBot="1">
      <c r="A155" s="245" t="s">
        <v>207</v>
      </c>
      <c r="B155" s="246"/>
      <c r="C155" s="247"/>
      <c r="D155" s="248"/>
      <c r="E155" s="248"/>
      <c r="F155" s="249"/>
      <c r="G155" s="134" t="s">
        <v>205</v>
      </c>
      <c r="H155" s="133"/>
    </row>
    <row r="156" spans="1:8" ht="39" customHeight="1" thickBot="1">
      <c r="A156" s="253" t="s">
        <v>208</v>
      </c>
      <c r="B156" s="254"/>
      <c r="C156" s="250"/>
      <c r="D156" s="251"/>
      <c r="E156" s="251"/>
      <c r="F156" s="252"/>
      <c r="G156" s="136" t="s">
        <v>205</v>
      </c>
      <c r="H156" s="135"/>
    </row>
    <row r="157" spans="1:8" ht="18" customHeight="1" thickBot="1">
      <c r="A157" s="241" t="s">
        <v>209</v>
      </c>
      <c r="B157" s="242"/>
      <c r="C157" s="242"/>
      <c r="D157" s="242"/>
      <c r="E157" s="242"/>
      <c r="F157" s="242"/>
      <c r="G157" s="242"/>
      <c r="H157" s="243"/>
    </row>
    <row r="158" spans="1:8" ht="3.75" customHeight="1">
      <c r="A158" s="2"/>
      <c r="B158" s="2"/>
      <c r="C158" s="2"/>
      <c r="D158" s="2"/>
      <c r="E158" s="2"/>
      <c r="F158" s="2"/>
      <c r="G158" s="2"/>
      <c r="H158" s="2"/>
    </row>
    <row r="159" spans="1:8" ht="48" customHeight="1">
      <c r="A159" s="232" t="s">
        <v>210</v>
      </c>
      <c r="B159" s="232"/>
      <c r="C159" s="232"/>
      <c r="D159" s="232"/>
      <c r="E159" s="232"/>
      <c r="F159" s="232"/>
      <c r="G159" s="232"/>
      <c r="H159" s="232"/>
    </row>
    <row r="160" spans="1:8" ht="18" customHeight="1"/>
    <row r="161" ht="18" customHeight="1"/>
    <row r="162" ht="18" customHeight="1"/>
    <row r="163" ht="18" customHeight="1"/>
    <row r="164" ht="18" customHeight="1"/>
    <row r="165" ht="18" customHeight="1"/>
    <row r="166" ht="18" customHeight="1"/>
    <row r="167" ht="18" customHeight="1"/>
    <row r="168" ht="18" customHeight="1"/>
    <row r="169" ht="18" customHeight="1"/>
    <row r="170" ht="18" customHeight="1"/>
    <row r="171" ht="18" customHeight="1"/>
    <row r="172" ht="18" customHeight="1"/>
    <row r="173" ht="18" customHeight="1"/>
    <row r="174" ht="18" customHeight="1"/>
    <row r="175" ht="18" customHeight="1"/>
    <row r="176" ht="18" customHeight="1"/>
    <row r="177" ht="18" customHeight="1"/>
    <row r="178" ht="18" customHeight="1"/>
    <row r="179" ht="18" customHeight="1"/>
    <row r="180" ht="21.75" customHeight="1"/>
    <row r="181" ht="18" customHeight="1"/>
    <row r="182" ht="18" customHeight="1"/>
    <row r="183" ht="18" customHeight="1"/>
    <row r="184" ht="18" customHeight="1"/>
    <row r="185" ht="18" customHeight="1"/>
    <row r="186" ht="18" customHeight="1"/>
    <row r="187" ht="18" customHeight="1"/>
    <row r="188" ht="18" customHeight="1"/>
    <row r="189" ht="18" customHeight="1"/>
    <row r="190" ht="18" customHeight="1"/>
    <row r="191" ht="18" customHeight="1"/>
    <row r="192" ht="18" customHeight="1"/>
    <row r="193" ht="18" customHeight="1"/>
    <row r="194" ht="18" customHeight="1"/>
    <row r="195" ht="18" customHeight="1"/>
    <row r="196" ht="18" customHeight="1"/>
    <row r="197" ht="18" customHeight="1"/>
    <row r="198" ht="18" customHeight="1"/>
    <row r="199" ht="18" customHeight="1"/>
    <row r="200" ht="18" customHeight="1"/>
    <row r="201" ht="14.25" customHeight="1"/>
    <row r="202" ht="18" customHeight="1"/>
    <row r="203" ht="18" customHeight="1"/>
    <row r="204" ht="18" customHeight="1"/>
    <row r="205" ht="18" customHeight="1"/>
    <row r="206" ht="18" customHeight="1"/>
    <row r="207" ht="18" customHeight="1"/>
    <row r="208" ht="18" customHeight="1"/>
    <row r="209" ht="18" customHeight="1"/>
    <row r="210" ht="18" customHeight="1"/>
    <row r="211" ht="18" customHeight="1"/>
    <row r="212" ht="18" customHeight="1"/>
    <row r="213" ht="18" customHeight="1"/>
    <row r="214" ht="18" customHeight="1"/>
    <row r="215" ht="18" customHeight="1"/>
    <row r="216" ht="18" customHeight="1"/>
    <row r="217" ht="18" customHeight="1"/>
    <row r="218" ht="18" customHeight="1"/>
    <row r="219" ht="18" customHeight="1"/>
    <row r="220" ht="18" customHeight="1"/>
    <row r="221" ht="18" customHeight="1"/>
    <row r="222" ht="18" customHeight="1"/>
    <row r="223" ht="18" customHeight="1"/>
    <row r="224" ht="18" customHeight="1"/>
    <row r="225" ht="18" customHeight="1"/>
    <row r="226" ht="18" customHeight="1"/>
    <row r="227" ht="18" customHeight="1"/>
    <row r="228" ht="18" customHeight="1"/>
    <row r="229" ht="18" customHeight="1"/>
    <row r="230" ht="18" customHeight="1"/>
    <row r="231" ht="18" customHeight="1"/>
    <row r="232" ht="18" customHeight="1"/>
    <row r="233" ht="18" customHeight="1"/>
    <row r="234" ht="24.75" customHeight="1"/>
    <row r="235" ht="18" customHeight="1"/>
    <row r="236" ht="18" customHeight="1"/>
    <row r="237" ht="18" customHeight="1"/>
    <row r="238" ht="18" customHeight="1"/>
    <row r="239" ht="18" customHeight="1"/>
    <row r="240" ht="18" customHeight="1"/>
    <row r="241" ht="18" customHeight="1"/>
    <row r="242" ht="18" customHeight="1"/>
    <row r="243" ht="18" customHeight="1"/>
    <row r="244" ht="18" customHeight="1"/>
    <row r="245" ht="18" customHeight="1"/>
    <row r="246" ht="18" customHeight="1"/>
    <row r="247" ht="18" customHeight="1"/>
    <row r="248" ht="18" customHeight="1"/>
    <row r="249" ht="18" customHeight="1"/>
    <row r="250" ht="18" customHeight="1"/>
    <row r="251" ht="18" customHeight="1"/>
    <row r="252" ht="18" customHeight="1"/>
    <row r="253" ht="18" customHeight="1"/>
    <row r="254" ht="18" customHeight="1"/>
    <row r="255" ht="18" customHeight="1"/>
    <row r="256" ht="18" customHeight="1"/>
    <row r="257" ht="18" customHeight="1"/>
    <row r="258" ht="18" customHeight="1"/>
    <row r="259" ht="18" customHeight="1"/>
    <row r="260" ht="18" customHeight="1"/>
    <row r="261" ht="18" customHeight="1"/>
    <row r="262" ht="18" customHeight="1"/>
    <row r="263" ht="18" customHeight="1"/>
    <row r="264" ht="18" customHeight="1"/>
    <row r="265" ht="18" customHeight="1"/>
    <row r="266" ht="18" customHeight="1"/>
    <row r="267" ht="18" customHeight="1"/>
    <row r="268" ht="18" customHeight="1"/>
    <row r="269" ht="18" customHeight="1"/>
    <row r="270" ht="18" customHeight="1"/>
    <row r="271" ht="18" customHeight="1"/>
    <row r="272" ht="18" customHeight="1"/>
    <row r="273" ht="18" customHeight="1"/>
    <row r="274" ht="23.25" customHeight="1"/>
    <row r="275" ht="18" customHeight="1"/>
    <row r="276" ht="18" customHeight="1"/>
    <row r="277" ht="18" customHeight="1"/>
    <row r="278" ht="18" customHeight="1"/>
    <row r="279" ht="18" customHeight="1"/>
    <row r="280" ht="18" customHeight="1"/>
    <row r="281" ht="18" customHeight="1"/>
    <row r="282" ht="18" customHeight="1"/>
    <row r="283" ht="18" customHeight="1"/>
    <row r="284" ht="18" customHeight="1"/>
    <row r="285" ht="18" customHeight="1"/>
    <row r="286" ht="12.75" customHeight="1"/>
    <row r="287" ht="12.75" customHeight="1"/>
  </sheetData>
  <sheetProtection algorithmName="SHA-512" hashValue="mAdf56SBfVpIBsYMN+X6IB0/3WAsXAHM17BdqBIqTxaQX3I82ZXfgv4yapcVC4pGfKvlnWM9hPfA+RLrH9n1lw==" saltValue="y83U/dKZU5x0d2lDoTRBMg==" spinCount="100000" sheet="1" formatCells="0" formatColumns="0" formatRows="0" insertHyperlinks="0"/>
  <sortState xmlns:xlrd2="http://schemas.microsoft.com/office/spreadsheetml/2017/richdata2" ref="P7:P14">
    <sortCondition ref="P7:P14"/>
  </sortState>
  <dataConsolidate/>
  <mergeCells count="117">
    <mergeCell ref="D128:F128"/>
    <mergeCell ref="D129:F129"/>
    <mergeCell ref="A156:B156"/>
    <mergeCell ref="C154:F154"/>
    <mergeCell ref="B135:G135"/>
    <mergeCell ref="A128:A134"/>
    <mergeCell ref="A137:A141"/>
    <mergeCell ref="D130:F130"/>
    <mergeCell ref="D131:F131"/>
    <mergeCell ref="D132:F132"/>
    <mergeCell ref="D133:F133"/>
    <mergeCell ref="D134:F134"/>
    <mergeCell ref="C138:F138"/>
    <mergeCell ref="C139:F139"/>
    <mergeCell ref="C140:F140"/>
    <mergeCell ref="C141:F141"/>
    <mergeCell ref="C137:F137"/>
    <mergeCell ref="A151:H151"/>
    <mergeCell ref="A152:B152"/>
    <mergeCell ref="C152:F152"/>
    <mergeCell ref="A147:H147"/>
    <mergeCell ref="A150:H150"/>
    <mergeCell ref="A153:H153"/>
    <mergeCell ref="A159:H159"/>
    <mergeCell ref="B86:G86"/>
    <mergeCell ref="B145:G145"/>
    <mergeCell ref="B144:G144"/>
    <mergeCell ref="A144:A146"/>
    <mergeCell ref="A148:H148"/>
    <mergeCell ref="A149:H149"/>
    <mergeCell ref="B146:G146"/>
    <mergeCell ref="A143:H143"/>
    <mergeCell ref="A157:H157"/>
    <mergeCell ref="A100:H100"/>
    <mergeCell ref="B106:G106"/>
    <mergeCell ref="B126:G126"/>
    <mergeCell ref="H123:H125"/>
    <mergeCell ref="H109:H119"/>
    <mergeCell ref="H129:H134"/>
    <mergeCell ref="B142:G142"/>
    <mergeCell ref="A154:B154"/>
    <mergeCell ref="C155:F155"/>
    <mergeCell ref="C156:F156"/>
    <mergeCell ref="A136:H136"/>
    <mergeCell ref="H138:H141"/>
    <mergeCell ref="A94:A98"/>
    <mergeCell ref="A155:B155"/>
    <mergeCell ref="A1:H1"/>
    <mergeCell ref="B50:G50"/>
    <mergeCell ref="A51:H51"/>
    <mergeCell ref="A8:H8"/>
    <mergeCell ref="A9:H9"/>
    <mergeCell ref="A10:A12"/>
    <mergeCell ref="H11:H12"/>
    <mergeCell ref="E11:F11"/>
    <mergeCell ref="E10:F10"/>
    <mergeCell ref="E12:F12"/>
    <mergeCell ref="A2:B2"/>
    <mergeCell ref="A4:B4"/>
    <mergeCell ref="A14:H14"/>
    <mergeCell ref="B13:G13"/>
    <mergeCell ref="B18:G18"/>
    <mergeCell ref="B43:G43"/>
    <mergeCell ref="A44:H44"/>
    <mergeCell ref="D15:G15"/>
    <mergeCell ref="D16:G16"/>
    <mergeCell ref="D17:G17"/>
    <mergeCell ref="A15:A17"/>
    <mergeCell ref="G4:H4"/>
    <mergeCell ref="C4:D4"/>
    <mergeCell ref="A19:H19"/>
    <mergeCell ref="H89:H91"/>
    <mergeCell ref="E7:F7"/>
    <mergeCell ref="A87:H87"/>
    <mergeCell ref="G6:H6"/>
    <mergeCell ref="G5:H5"/>
    <mergeCell ref="A20:A42"/>
    <mergeCell ref="A45:A49"/>
    <mergeCell ref="A52:A68"/>
    <mergeCell ref="A71:A85"/>
    <mergeCell ref="H21:H42"/>
    <mergeCell ref="A88:A91"/>
    <mergeCell ref="E5:F5"/>
    <mergeCell ref="E79:F79"/>
    <mergeCell ref="A5:B5"/>
    <mergeCell ref="A7:B7"/>
    <mergeCell ref="B69:G69"/>
    <mergeCell ref="H72:H85"/>
    <mergeCell ref="H46:H49"/>
    <mergeCell ref="H53:H68"/>
    <mergeCell ref="A70:H70"/>
    <mergeCell ref="B15:C15"/>
    <mergeCell ref="G7:H7"/>
    <mergeCell ref="B16:C16"/>
    <mergeCell ref="B17:C17"/>
    <mergeCell ref="A127:H127"/>
    <mergeCell ref="H102:H105"/>
    <mergeCell ref="B120:G120"/>
    <mergeCell ref="B92:G92"/>
    <mergeCell ref="A121:H121"/>
    <mergeCell ref="A93:H93"/>
    <mergeCell ref="A107:H107"/>
    <mergeCell ref="H95:H98"/>
    <mergeCell ref="B99:G99"/>
    <mergeCell ref="A122:A125"/>
    <mergeCell ref="A108:A119"/>
    <mergeCell ref="A101:A105"/>
    <mergeCell ref="E3:F3"/>
    <mergeCell ref="C3:D3"/>
    <mergeCell ref="G3:H3"/>
    <mergeCell ref="E2:F2"/>
    <mergeCell ref="E4:F4"/>
    <mergeCell ref="C5:D5"/>
    <mergeCell ref="A6:B6"/>
    <mergeCell ref="C7:D7"/>
    <mergeCell ref="C6:D6"/>
    <mergeCell ref="E6:F6"/>
  </mergeCells>
  <conditionalFormatting sqref="H50">
    <cfRule type="cellIs" dxfId="112" priority="25" operator="greaterThan">
      <formula>60000</formula>
    </cfRule>
  </conditionalFormatting>
  <conditionalFormatting sqref="H99">
    <cfRule type="cellIs" dxfId="111" priority="26" operator="greaterThan">
      <formula>30000</formula>
    </cfRule>
  </conditionalFormatting>
  <conditionalFormatting sqref="H106">
    <cfRule type="cellIs" dxfId="110" priority="27" operator="greaterThan">
      <formula>25000</formula>
    </cfRule>
  </conditionalFormatting>
  <conditionalFormatting sqref="G140">
    <cfRule type="cellIs" dxfId="109" priority="24" operator="greaterThan">
      <formula>6000</formula>
    </cfRule>
  </conditionalFormatting>
  <conditionalFormatting sqref="H135">
    <cfRule type="expression" dxfId="108" priority="22">
      <formula>OR(AND(H18=0,H135&gt;10000),AND(H13=0,H135&gt;7000))</formula>
    </cfRule>
  </conditionalFormatting>
  <conditionalFormatting sqref="D46">
    <cfRule type="expression" dxfId="107" priority="18">
      <formula>OR($B$46="SELECT FROM DROP DOWN LIST",$E$46="VF")</formula>
    </cfRule>
  </conditionalFormatting>
  <conditionalFormatting sqref="D53:D62">
    <cfRule type="expression" dxfId="106" priority="8">
      <formula>AND($B53&lt;&gt;"Detached garage",$B53&lt;&gt;"fence removal")</formula>
    </cfRule>
  </conditionalFormatting>
  <conditionalFormatting sqref="D21:D36">
    <cfRule type="expression" dxfId="105" priority="7">
      <formula>AND(B21&lt;&gt;"Tree trim",B21&lt;&gt;"Stump grinding",B21&lt;&gt;"Stump removal",B21&lt;&gt;"Sewer or water line to home",B21&lt;&gt;"Gas line",B21&lt;&gt;"Underground electric",B21&lt;&gt;"Tree removal: 2 - 10 in",B21&lt;&gt;"Tree removal: 11 - 15 in",B21&lt;&gt;"Tree removal: 16 - 20 in",B21&lt;&gt;"Tree removal: 21 - 25 in",B21&lt;&gt;"Tree removal: 26 - 30 in",B21&lt;&gt;"Tree removal: 31 - 36 in",B21&lt;&gt;"Culvert concrete: 12 in",B21&lt;&gt;"Culvert concrete: 15 in",B21&lt;&gt;"Culvert concrete: 16 in",B21&lt;&gt;"Culvert concrete: 18 in",B21&lt;&gt;"Culvert concrete: 20 in",B21&lt;&gt;"Culvert concrete: 24 in",B21&lt;&gt;"Stairs for elevated homes")</formula>
    </cfRule>
  </conditionalFormatting>
  <conditionalFormatting sqref="D72:D77">
    <cfRule type="expression" dxfId="104" priority="5">
      <formula>OR(B72="SELECT ITEM FROM DROP DOWN LIST",B72="HC3 tub",B72="HC4 shower")</formula>
    </cfRule>
  </conditionalFormatting>
  <dataValidations xWindow="795" yWindow="618" count="18">
    <dataValidation type="list" allowBlank="1" showInputMessage="1" showErrorMessage="1" sqref="B46" xr:uid="{E4A164DF-DBAD-4D87-895E-99BD706C3571}">
      <formula1>Elevation</formula1>
    </dataValidation>
    <dataValidation type="list" allowBlank="1" showInputMessage="1" showErrorMessage="1" sqref="B21:B36" xr:uid="{A03773F0-3396-4B5F-B5CD-FB9702E8607B}">
      <formula1>SitePrep</formula1>
    </dataValidation>
    <dataValidation type="list" allowBlank="1" showInputMessage="1" showErrorMessage="1" sqref="B53:B62" xr:uid="{E00D0D67-0D2C-400D-BEBA-053C2EB1BC17}">
      <formula1>Demo</formula1>
    </dataValidation>
    <dataValidation type="list" allowBlank="1" showInputMessage="1" showErrorMessage="1" sqref="B109:B113" xr:uid="{5FABCA90-B01C-4E19-BB50-C9D951AE8C19}">
      <formula1>Code</formula1>
    </dataValidation>
    <dataValidation type="list" allowBlank="1" showInputMessage="1" showErrorMessage="1" sqref="B72:B77" xr:uid="{63EE7796-E1C6-4DB3-9CD0-42E3040CE9ED}">
      <formula1>Accessibility</formula1>
    </dataValidation>
    <dataValidation type="list" allowBlank="1" showInputMessage="1" showErrorMessage="1" sqref="C129:C130" xr:uid="{AA895576-09F1-466E-91F9-2F51C08243B2}">
      <formula1>"Yes,No"</formula1>
    </dataValidation>
    <dataValidation type="list" allowBlank="1" showInputMessage="1" showErrorMessage="1" sqref="K21" xr:uid="{BF6207B6-6ADA-4A9E-B31F-89D0644066DC}">
      <formula1>OFFSET(#REF!,0,0,COUNTA(#REF!))</formula1>
    </dataValidation>
    <dataValidation operator="lessThan" allowBlank="1" promptTitle="Cell will autopopulate" prompt="Do not edit text in this cell" sqref="C72:C78 C83:F85 D72:D79 G79 C138:F139" xr:uid="{D4AA4163-5DE5-4C26-910B-92720C158BDC}"/>
    <dataValidation type="textLength" operator="lessThan" allowBlank="1" showInputMessage="1" promptTitle="Cell will autopopulate" prompt="Do not edit text in this cell" sqref="G129:G132 H129:H135 H144 H146:H147 D11:G11 H11:H13 H16 H18 G7:H7 H21:H43 E46:G46 H46:H50 G80:G81 H53:H69 E53:G62 E21:G36 H72:H86 H89:H92 H95:H99 H102:H106 E72:G78 H109:H120 D123:G124 H123:H126 C131:C132 G138:G139 H138:H142 C6:D7 D80:F82 E109:G113" xr:uid="{F32A236D-1788-4B0B-AF0F-116122625933}">
      <formula1>0</formula1>
    </dataValidation>
    <dataValidation allowBlank="1" sqref="E63:F68 G133:G134 D129:F134 G5:H5 C12:G12 D16:G17 H17 C21:C42 E37:G42 C46:D49 E47:G49 C140:G141 G2:G3 C2:C5 D2 D4:D5" xr:uid="{F2414F28-1A7F-4F3E-83F1-C4C2A9563466}"/>
    <dataValidation errorStyle="information" allowBlank="1" errorTitle="Amount" error="If item is fill dirt, caliche/crush concrete, or flat work, select from drop down. If not, list amount (SF, LF, CY, or Number of Items)" sqref="D21:D42" xr:uid="{E697BB3A-93D8-4786-9B06-82A519CA5126}"/>
    <dataValidation errorStyle="information" allowBlank="1" sqref="C53:D68" xr:uid="{A16C5D3B-7FA0-48F3-81C7-2A97632B0851}"/>
    <dataValidation type="list" allowBlank="1" showInputMessage="1" showErrorMessage="1" sqref="C11" xr:uid="{FCD39799-B7A0-4CDA-81CB-2FC015B8DCE1}">
      <formula1>INDIRECT(G6)</formula1>
    </dataValidation>
    <dataValidation type="list" allowBlank="1" showInputMessage="1" showErrorMessage="1" sqref="E2:F2" xr:uid="{40B762C5-BEC2-44FF-9C63-44E320DA3A61}">
      <formula1>"Harvey,Mitigation,Events_2018_2019, RHP"</formula1>
    </dataValidation>
    <dataValidation type="list" allowBlank="1" showInputMessage="1" showErrorMessage="1" sqref="G6:H6" xr:uid="{AE84DF2A-CF5E-4BFC-8D0B-33B7A0607458}">
      <formula1>INDIRECT(E2)</formula1>
    </dataValidation>
    <dataValidation type="list" allowBlank="1" showInputMessage="1" showErrorMessage="1" sqref="E3:F3" xr:uid="{436BA10E-A323-4537-AB07-21DD87255039}">
      <formula1>"Yes, No"</formula1>
    </dataValidation>
    <dataValidation type="textLength" operator="lessThan" allowBlank="1" promptTitle="Cell will autopopulate" prompt="Do not edit text in this cell" sqref="G82" xr:uid="{7D9FF3AE-ADBD-4A69-9940-9AA5BA750C6E}">
      <formula1>0</formula1>
    </dataValidation>
    <dataValidation type="list" allowBlank="1" showInputMessage="1" showErrorMessage="1" sqref="B81" xr:uid="{9A7F56BF-44EF-42BD-A3B0-B531CD5E1C94}">
      <formula1>Lift</formula1>
    </dataValidation>
  </dataValidations>
  <pageMargins left="0.25" right="0.25" top="0.5" bottom="0.5" header="0.3" footer="0.3"/>
  <pageSetup orientation="landscape" r:id="rId1"/>
  <extLst>
    <ext xmlns:x14="http://schemas.microsoft.com/office/spreadsheetml/2009/9/main" uri="{CCE6A557-97BC-4b89-ADB6-D9C93CAAB3DF}">
      <x14:dataValidations xmlns:xm="http://schemas.microsoft.com/office/excel/2006/main" xWindow="795" yWindow="618" count="1">
        <x14:dataValidation type="list" allowBlank="1" showInputMessage="1" showErrorMessage="1" xr:uid="{40BACAA3-B426-4D47-AE16-F97291DFA37B}">
          <x14:formula1>
            <xm:f>ProjectInfoCompPrice!$A$3:$A$62</xm:f>
          </x14:formula1>
          <xm:sqref>G4:H4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64B756-1D29-4E59-9615-92FDDB8E31E4}">
  <dimension ref="A1:C39"/>
  <sheetViews>
    <sheetView zoomScale="70" zoomScaleNormal="70" workbookViewId="0">
      <selection activeCell="C13" sqref="C13"/>
    </sheetView>
  </sheetViews>
  <sheetFormatPr defaultColWidth="8.83203125" defaultRowHeight="12.95"/>
  <cols>
    <col min="1" max="1" width="16.33203125" style="24" customWidth="1"/>
    <col min="2" max="2" width="101.6640625" style="24" customWidth="1"/>
    <col min="3" max="3" width="113.83203125" style="24" customWidth="1"/>
    <col min="4" max="16384" width="8.83203125" style="24"/>
  </cols>
  <sheetData>
    <row r="1" spans="1:3" ht="14.45">
      <c r="A1" s="158" t="s">
        <v>211</v>
      </c>
      <c r="B1" s="158" t="s">
        <v>212</v>
      </c>
      <c r="C1" s="159" t="s">
        <v>213</v>
      </c>
    </row>
    <row r="2" spans="1:3" ht="14.45">
      <c r="A2" s="160" t="s">
        <v>214</v>
      </c>
      <c r="B2" s="160" t="s">
        <v>215</v>
      </c>
      <c r="C2" s="160" t="s">
        <v>216</v>
      </c>
    </row>
    <row r="3" spans="1:3" ht="14.45">
      <c r="A3" s="160" t="s">
        <v>214</v>
      </c>
      <c r="B3" s="160" t="s">
        <v>217</v>
      </c>
      <c r="C3" s="160" t="s">
        <v>218</v>
      </c>
    </row>
    <row r="4" spans="1:3" ht="14.45">
      <c r="A4" s="160" t="s">
        <v>214</v>
      </c>
      <c r="B4" s="160" t="s">
        <v>219</v>
      </c>
      <c r="C4" s="160" t="s">
        <v>220</v>
      </c>
    </row>
    <row r="5" spans="1:3" ht="14.45">
      <c r="A5" s="160" t="s">
        <v>214</v>
      </c>
      <c r="B5" s="160" t="s">
        <v>221</v>
      </c>
      <c r="C5" s="160" t="s">
        <v>222</v>
      </c>
    </row>
    <row r="6" spans="1:3" ht="14.45">
      <c r="A6" s="160" t="s">
        <v>214</v>
      </c>
      <c r="B6" s="160" t="s">
        <v>223</v>
      </c>
      <c r="C6" s="160" t="s">
        <v>224</v>
      </c>
    </row>
    <row r="7" spans="1:3" ht="14.45">
      <c r="A7" s="160" t="s">
        <v>214</v>
      </c>
      <c r="B7" s="160" t="s">
        <v>225</v>
      </c>
      <c r="C7" s="160" t="s">
        <v>226</v>
      </c>
    </row>
    <row r="8" spans="1:3" ht="14.45">
      <c r="A8" s="160" t="s">
        <v>227</v>
      </c>
      <c r="B8" s="160" t="s">
        <v>228</v>
      </c>
      <c r="C8" s="160" t="s">
        <v>229</v>
      </c>
    </row>
    <row r="9" spans="1:3" ht="14.45">
      <c r="A9" s="160" t="s">
        <v>230</v>
      </c>
      <c r="B9" s="160" t="s">
        <v>231</v>
      </c>
      <c r="C9" s="160" t="s">
        <v>232</v>
      </c>
    </row>
    <row r="10" spans="1:3" ht="14.45">
      <c r="A10" s="160" t="s">
        <v>230</v>
      </c>
      <c r="B10" s="160" t="s">
        <v>233</v>
      </c>
      <c r="C10" s="160" t="s">
        <v>234</v>
      </c>
    </row>
    <row r="11" spans="1:3" ht="14.45">
      <c r="A11" s="160" t="s">
        <v>230</v>
      </c>
      <c r="B11" s="160" t="s">
        <v>235</v>
      </c>
      <c r="C11" s="160" t="s">
        <v>236</v>
      </c>
    </row>
    <row r="12" spans="1:3" ht="14.45">
      <c r="A12" s="160" t="s">
        <v>230</v>
      </c>
      <c r="B12" s="160" t="s">
        <v>225</v>
      </c>
      <c r="C12" s="160" t="s">
        <v>237</v>
      </c>
    </row>
    <row r="13" spans="1:3" ht="14.45">
      <c r="A13" s="160" t="s">
        <v>230</v>
      </c>
      <c r="B13" s="160" t="s">
        <v>238</v>
      </c>
      <c r="C13" s="160" t="s">
        <v>239</v>
      </c>
    </row>
    <row r="14" spans="1:3" ht="14.45">
      <c r="A14" s="160" t="s">
        <v>240</v>
      </c>
      <c r="B14" s="160" t="s">
        <v>217</v>
      </c>
      <c r="C14" s="160" t="s">
        <v>241</v>
      </c>
    </row>
    <row r="15" spans="1:3" ht="14.45">
      <c r="A15" s="160" t="s">
        <v>240</v>
      </c>
      <c r="B15" s="160" t="s">
        <v>242</v>
      </c>
      <c r="C15" s="160" t="s">
        <v>243</v>
      </c>
    </row>
    <row r="16" spans="1:3" ht="14.45">
      <c r="A16" s="160" t="s">
        <v>244</v>
      </c>
      <c r="B16" s="160" t="s">
        <v>231</v>
      </c>
      <c r="C16" s="160" t="s">
        <v>245</v>
      </c>
    </row>
    <row r="17" spans="1:3" ht="14.45">
      <c r="A17" s="160" t="s">
        <v>246</v>
      </c>
      <c r="B17" s="160" t="s">
        <v>247</v>
      </c>
      <c r="C17" s="160" t="s">
        <v>248</v>
      </c>
    </row>
    <row r="18" spans="1:3" ht="14.45">
      <c r="A18" s="160" t="s">
        <v>246</v>
      </c>
      <c r="B18" s="160" t="s">
        <v>249</v>
      </c>
      <c r="C18" s="160" t="s">
        <v>250</v>
      </c>
    </row>
    <row r="19" spans="1:3" ht="14.45">
      <c r="A19" s="160" t="s">
        <v>251</v>
      </c>
      <c r="B19" s="160" t="s">
        <v>233</v>
      </c>
      <c r="C19" s="160" t="s">
        <v>252</v>
      </c>
    </row>
    <row r="20" spans="1:3" ht="14.45">
      <c r="A20" s="160" t="s">
        <v>251</v>
      </c>
      <c r="B20" s="160" t="s">
        <v>225</v>
      </c>
      <c r="C20" s="160" t="s">
        <v>253</v>
      </c>
    </row>
    <row r="21" spans="1:3" ht="14.45">
      <c r="A21" s="160" t="s">
        <v>254</v>
      </c>
      <c r="B21" s="160" t="s">
        <v>255</v>
      </c>
      <c r="C21" s="160" t="s">
        <v>256</v>
      </c>
    </row>
    <row r="22" spans="1:3" ht="14.45">
      <c r="A22" s="160" t="s">
        <v>254</v>
      </c>
      <c r="B22" s="160" t="s">
        <v>257</v>
      </c>
      <c r="C22" s="160" t="s">
        <v>258</v>
      </c>
    </row>
    <row r="23" spans="1:3" ht="14.45">
      <c r="A23" s="160" t="s">
        <v>254</v>
      </c>
      <c r="B23" s="160" t="s">
        <v>259</v>
      </c>
      <c r="C23" s="160" t="s">
        <v>260</v>
      </c>
    </row>
    <row r="24" spans="1:3" ht="14.45">
      <c r="A24" s="160" t="s">
        <v>261</v>
      </c>
      <c r="B24" s="160" t="s">
        <v>262</v>
      </c>
      <c r="C24" s="160" t="s">
        <v>263</v>
      </c>
    </row>
    <row r="25" spans="1:3" ht="14.45">
      <c r="A25" s="160" t="s">
        <v>261</v>
      </c>
      <c r="B25" s="160" t="s">
        <v>264</v>
      </c>
      <c r="C25" s="160" t="s">
        <v>265</v>
      </c>
    </row>
    <row r="26" spans="1:3" ht="14.45">
      <c r="A26" s="160" t="s">
        <v>261</v>
      </c>
      <c r="B26" s="160" t="s">
        <v>266</v>
      </c>
      <c r="C26" s="160" t="s">
        <v>267</v>
      </c>
    </row>
    <row r="27" spans="1:3" ht="14.45">
      <c r="A27" s="160" t="s">
        <v>261</v>
      </c>
      <c r="B27" s="160" t="s">
        <v>268</v>
      </c>
      <c r="C27" s="160" t="s">
        <v>269</v>
      </c>
    </row>
    <row r="28" spans="1:3" ht="14.45">
      <c r="A28" s="160" t="s">
        <v>261</v>
      </c>
      <c r="B28" s="160" t="s">
        <v>270</v>
      </c>
      <c r="C28" s="160" t="s">
        <v>271</v>
      </c>
    </row>
    <row r="29" spans="1:3" ht="14.45">
      <c r="A29" s="160" t="s">
        <v>261</v>
      </c>
      <c r="B29" s="160" t="s">
        <v>225</v>
      </c>
      <c r="C29" s="160" t="s">
        <v>272</v>
      </c>
    </row>
    <row r="30" spans="1:3" ht="14.45">
      <c r="A30" s="160" t="s">
        <v>273</v>
      </c>
      <c r="B30" s="160" t="s">
        <v>233</v>
      </c>
      <c r="C30" s="160" t="s">
        <v>274</v>
      </c>
    </row>
    <row r="31" spans="1:3" ht="14.45">
      <c r="A31" s="160" t="s">
        <v>275</v>
      </c>
      <c r="B31" s="160" t="s">
        <v>276</v>
      </c>
      <c r="C31" s="160" t="s">
        <v>277</v>
      </c>
    </row>
    <row r="32" spans="1:3" ht="14.45">
      <c r="A32" s="160" t="s">
        <v>275</v>
      </c>
      <c r="B32" s="160" t="s">
        <v>278</v>
      </c>
      <c r="C32" s="160" t="s">
        <v>279</v>
      </c>
    </row>
    <row r="33" spans="1:3" ht="14.45">
      <c r="A33" s="160" t="s">
        <v>280</v>
      </c>
      <c r="B33" s="160" t="s">
        <v>281</v>
      </c>
      <c r="C33" s="160" t="s">
        <v>282</v>
      </c>
    </row>
    <row r="34" spans="1:3" ht="14.45">
      <c r="A34" s="160" t="s">
        <v>283</v>
      </c>
      <c r="B34" s="160" t="s">
        <v>284</v>
      </c>
      <c r="C34" s="160" t="s">
        <v>285</v>
      </c>
    </row>
    <row r="35" spans="1:3" ht="14.45">
      <c r="A35" s="160" t="s">
        <v>283</v>
      </c>
      <c r="B35" s="160" t="s">
        <v>286</v>
      </c>
      <c r="C35" s="160" t="s">
        <v>287</v>
      </c>
    </row>
    <row r="36" spans="1:3" ht="14.45">
      <c r="A36" s="160" t="s">
        <v>283</v>
      </c>
      <c r="B36" s="160" t="s">
        <v>288</v>
      </c>
      <c r="C36" s="160" t="s">
        <v>289</v>
      </c>
    </row>
    <row r="37" spans="1:3" ht="14.45">
      <c r="A37" s="160" t="s">
        <v>283</v>
      </c>
      <c r="B37" s="160" t="s">
        <v>290</v>
      </c>
      <c r="C37" s="160" t="s">
        <v>291</v>
      </c>
    </row>
    <row r="38" spans="1:3" ht="14.45">
      <c r="A38" s="160" t="s">
        <v>292</v>
      </c>
      <c r="B38" s="160" t="s">
        <v>293</v>
      </c>
      <c r="C38" s="160" t="s">
        <v>294</v>
      </c>
    </row>
    <row r="39" spans="1:3" ht="14.45">
      <c r="A39" s="160" t="s">
        <v>292</v>
      </c>
      <c r="B39" s="160" t="s">
        <v>295</v>
      </c>
      <c r="C39" s="160" t="s">
        <v>296</v>
      </c>
    </row>
  </sheetData>
  <sheetProtection algorithmName="SHA-512" hashValue="gJ+knUh1dLqOTkVKDb4jGilYHZPZt5W6s6hAM6nw9ScN0N7neQD4UgYwkheJecBIyySNpukvmXuNkLebBggzZQ==" saltValue="Cfhjh1n6KnhnKmpMYz3aJg==" spinCount="100000" sheet="1" objects="1" scenarios="1"/>
  <sortState xmlns:xlrd2="http://schemas.microsoft.com/office/spreadsheetml/2017/richdata2" ref="A2:C22">
    <sortCondition ref="A2:A22"/>
    <sortCondition ref="B2:B22"/>
  </sortState>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D930F4-D3B9-465A-ABDA-93173C18510D}">
  <sheetPr codeName="Sheet4">
    <outlinePr summaryBelow="0"/>
  </sheetPr>
  <dimension ref="A1:G136"/>
  <sheetViews>
    <sheetView workbookViewId="0">
      <selection activeCell="G135" sqref="G135"/>
    </sheetView>
  </sheetViews>
  <sheetFormatPr defaultRowHeight="12.95" outlineLevelRow="1"/>
  <cols>
    <col min="1" max="1" width="2" style="24" customWidth="1"/>
    <col min="2" max="2" width="23.33203125" style="24" bestFit="1" customWidth="1"/>
    <col min="3" max="3" width="43.83203125" style="24" customWidth="1"/>
    <col min="4" max="4" width="17.6640625" style="24" bestFit="1" customWidth="1"/>
    <col min="5" max="5" width="21.6640625" style="24" bestFit="1" customWidth="1"/>
    <col min="6" max="6" width="12.83203125" style="24" customWidth="1"/>
    <col min="7" max="7" width="15.33203125" style="24" customWidth="1"/>
  </cols>
  <sheetData>
    <row r="1" spans="1:7" ht="18.600000000000001">
      <c r="A1" s="273" t="s">
        <v>297</v>
      </c>
      <c r="B1" s="273"/>
      <c r="C1" s="273"/>
      <c r="D1" s="273"/>
      <c r="E1" s="273"/>
      <c r="F1" s="273"/>
      <c r="G1" s="273"/>
    </row>
    <row r="2" spans="1:7" s="4" customFormat="1" collapsed="1">
      <c r="A2" s="268" t="s">
        <v>298</v>
      </c>
      <c r="B2" s="268"/>
      <c r="C2" s="268"/>
      <c r="D2" s="268"/>
      <c r="E2" s="268"/>
      <c r="F2" s="268"/>
      <c r="G2" s="268"/>
    </row>
    <row r="3" spans="1:7" s="91" customFormat="1" ht="26.1" hidden="1" outlineLevel="1">
      <c r="A3" s="274" t="s">
        <v>299</v>
      </c>
      <c r="B3" s="102" t="s">
        <v>104</v>
      </c>
      <c r="C3" s="188" t="s">
        <v>300</v>
      </c>
      <c r="D3" s="178" t="s">
        <v>136</v>
      </c>
      <c r="E3" s="188" t="s">
        <v>301</v>
      </c>
      <c r="F3" s="188" t="s">
        <v>108</v>
      </c>
      <c r="G3" s="188" t="s">
        <v>109</v>
      </c>
    </row>
    <row r="4" spans="1:7" s="91" customFormat="1" ht="12" hidden="1" outlineLevel="1">
      <c r="A4" s="274"/>
      <c r="B4" s="101" t="s">
        <v>302</v>
      </c>
      <c r="C4" s="83"/>
      <c r="D4" s="19"/>
      <c r="E4" s="98"/>
      <c r="F4" s="93">
        <f>D4*E4</f>
        <v>0</v>
      </c>
      <c r="G4" s="276"/>
    </row>
    <row r="5" spans="1:7" s="91" customFormat="1" ht="12" hidden="1" outlineLevel="1">
      <c r="A5" s="274"/>
      <c r="B5" s="101" t="s">
        <v>303</v>
      </c>
      <c r="C5" s="83"/>
      <c r="D5" s="19"/>
      <c r="E5" s="98"/>
      <c r="F5" s="93">
        <f>D5*E5</f>
        <v>0</v>
      </c>
      <c r="G5" s="276"/>
    </row>
    <row r="6" spans="1:7" s="91" customFormat="1" ht="12" hidden="1" outlineLevel="1">
      <c r="A6" s="274"/>
      <c r="B6" s="101" t="s">
        <v>304</v>
      </c>
      <c r="C6" s="19"/>
      <c r="D6" s="19"/>
      <c r="E6" s="19"/>
      <c r="F6" s="93">
        <f>D6*E6</f>
        <v>0</v>
      </c>
      <c r="G6" s="276"/>
    </row>
    <row r="7" spans="1:7" s="91" customFormat="1" ht="12" hidden="1" outlineLevel="1">
      <c r="A7" s="274"/>
      <c r="B7" s="275" t="s">
        <v>305</v>
      </c>
      <c r="C7" s="275"/>
      <c r="D7" s="275"/>
      <c r="E7" s="275"/>
      <c r="F7" s="275"/>
      <c r="G7" s="276"/>
    </row>
    <row r="8" spans="1:7" s="91" customFormat="1" ht="12">
      <c r="A8" s="274"/>
      <c r="B8" s="277" t="s">
        <v>306</v>
      </c>
      <c r="C8" s="277"/>
      <c r="D8" s="277"/>
      <c r="E8" s="277"/>
      <c r="F8" s="277"/>
      <c r="G8" s="94">
        <f>SUM(F4:F6)</f>
        <v>0</v>
      </c>
    </row>
    <row r="9" spans="1:7" s="4" customFormat="1" collapsed="1">
      <c r="A9" s="268" t="s">
        <v>307</v>
      </c>
      <c r="B9" s="268"/>
      <c r="C9" s="268"/>
      <c r="D9" s="268"/>
      <c r="E9" s="268"/>
      <c r="F9" s="268"/>
      <c r="G9" s="268"/>
    </row>
    <row r="10" spans="1:7" s="3" customFormat="1" ht="26.1" hidden="1" outlineLevel="1">
      <c r="A10" s="269" t="s">
        <v>103</v>
      </c>
      <c r="B10" s="104" t="s">
        <v>104</v>
      </c>
      <c r="C10" s="187" t="s">
        <v>300</v>
      </c>
      <c r="D10" s="178" t="s">
        <v>136</v>
      </c>
      <c r="E10" s="188" t="s">
        <v>301</v>
      </c>
      <c r="F10" s="187" t="s">
        <v>108</v>
      </c>
      <c r="G10" s="187" t="s">
        <v>109</v>
      </c>
    </row>
    <row r="11" spans="1:7" s="3" customFormat="1" hidden="1" outlineLevel="1">
      <c r="A11" s="269"/>
      <c r="B11" s="103" t="s">
        <v>307</v>
      </c>
      <c r="C11" s="186"/>
      <c r="D11" s="27"/>
      <c r="E11" s="99"/>
      <c r="F11" s="95">
        <f>D11*E11</f>
        <v>0</v>
      </c>
      <c r="G11" s="270"/>
    </row>
    <row r="12" spans="1:7" s="3" customFormat="1" hidden="1" outlineLevel="1">
      <c r="A12" s="269"/>
      <c r="B12" s="103" t="s">
        <v>304</v>
      </c>
      <c r="C12" s="27"/>
      <c r="D12" s="27"/>
      <c r="E12" s="27"/>
      <c r="F12" s="95">
        <f>D12*E12</f>
        <v>0</v>
      </c>
      <c r="G12" s="270"/>
    </row>
    <row r="13" spans="1:7" s="3" customFormat="1">
      <c r="A13" s="269"/>
      <c r="B13" s="271" t="s">
        <v>308</v>
      </c>
      <c r="C13" s="271"/>
      <c r="D13" s="271"/>
      <c r="E13" s="271"/>
      <c r="F13" s="271"/>
      <c r="G13" s="96">
        <f>SUM(F11:F12)</f>
        <v>0</v>
      </c>
    </row>
    <row r="14" spans="1:7" s="4" customFormat="1" collapsed="1">
      <c r="A14" s="268" t="s">
        <v>309</v>
      </c>
      <c r="B14" s="268"/>
      <c r="C14" s="268"/>
      <c r="D14" s="268"/>
      <c r="E14" s="268"/>
      <c r="F14" s="268"/>
      <c r="G14" s="268"/>
    </row>
    <row r="15" spans="1:7" s="3" customFormat="1" ht="26.1" hidden="1" outlineLevel="1">
      <c r="A15" s="272"/>
      <c r="B15" s="104" t="s">
        <v>104</v>
      </c>
      <c r="C15" s="187" t="s">
        <v>300</v>
      </c>
      <c r="D15" s="178" t="s">
        <v>136</v>
      </c>
      <c r="E15" s="188" t="s">
        <v>301</v>
      </c>
      <c r="F15" s="187" t="s">
        <v>108</v>
      </c>
      <c r="G15" s="187" t="s">
        <v>109</v>
      </c>
    </row>
    <row r="16" spans="1:7" s="3" customFormat="1" hidden="1" outlineLevel="1">
      <c r="A16" s="272"/>
      <c r="B16" s="103" t="s">
        <v>310</v>
      </c>
      <c r="C16" s="186"/>
      <c r="D16" s="27"/>
      <c r="E16" s="99"/>
      <c r="F16" s="95">
        <f>D16*E16</f>
        <v>0</v>
      </c>
      <c r="G16" s="272"/>
    </row>
    <row r="17" spans="1:7" s="3" customFormat="1" hidden="1" outlineLevel="1">
      <c r="A17" s="272"/>
      <c r="B17" s="103" t="s">
        <v>311</v>
      </c>
      <c r="C17" s="27"/>
      <c r="D17" s="27"/>
      <c r="E17" s="99"/>
      <c r="F17" s="95">
        <f t="shared" ref="F17:F27" si="0">D17*E17</f>
        <v>0</v>
      </c>
      <c r="G17" s="272"/>
    </row>
    <row r="18" spans="1:7" s="3" customFormat="1" hidden="1" outlineLevel="1">
      <c r="A18" s="272"/>
      <c r="B18" s="103" t="s">
        <v>312</v>
      </c>
      <c r="C18" s="27"/>
      <c r="D18" s="27"/>
      <c r="E18" s="27"/>
      <c r="F18" s="95">
        <f t="shared" si="0"/>
        <v>0</v>
      </c>
      <c r="G18" s="272"/>
    </row>
    <row r="19" spans="1:7" s="3" customFormat="1" hidden="1" outlineLevel="1">
      <c r="A19" s="272"/>
      <c r="B19" s="103" t="s">
        <v>313</v>
      </c>
      <c r="C19" s="27"/>
      <c r="D19" s="27"/>
      <c r="E19" s="99"/>
      <c r="F19" s="95">
        <f t="shared" si="0"/>
        <v>0</v>
      </c>
      <c r="G19" s="272"/>
    </row>
    <row r="20" spans="1:7" s="3" customFormat="1" hidden="1" outlineLevel="1">
      <c r="A20" s="272"/>
      <c r="B20" s="103" t="s">
        <v>314</v>
      </c>
      <c r="C20" s="27"/>
      <c r="D20" s="27"/>
      <c r="E20" s="99"/>
      <c r="F20" s="95">
        <f t="shared" si="0"/>
        <v>0</v>
      </c>
      <c r="G20" s="272"/>
    </row>
    <row r="21" spans="1:7" s="3" customFormat="1" hidden="1" outlineLevel="1">
      <c r="A21" s="272"/>
      <c r="B21" s="103" t="s">
        <v>315</v>
      </c>
      <c r="C21" s="186"/>
      <c r="D21" s="27"/>
      <c r="E21" s="99"/>
      <c r="F21" s="95">
        <f t="shared" si="0"/>
        <v>0</v>
      </c>
      <c r="G21" s="272"/>
    </row>
    <row r="22" spans="1:7" s="3" customFormat="1" hidden="1" outlineLevel="1">
      <c r="A22" s="272"/>
      <c r="B22" s="103" t="s">
        <v>316</v>
      </c>
      <c r="C22" s="27"/>
      <c r="D22" s="27"/>
      <c r="E22" s="99"/>
      <c r="F22" s="95">
        <f t="shared" si="0"/>
        <v>0</v>
      </c>
      <c r="G22" s="272"/>
    </row>
    <row r="23" spans="1:7" s="3" customFormat="1" hidden="1" outlineLevel="1">
      <c r="A23" s="272"/>
      <c r="B23" s="103" t="s">
        <v>317</v>
      </c>
      <c r="C23" s="27"/>
      <c r="D23" s="27"/>
      <c r="E23" s="99"/>
      <c r="F23" s="95">
        <f t="shared" si="0"/>
        <v>0</v>
      </c>
      <c r="G23" s="272"/>
    </row>
    <row r="24" spans="1:7" s="3" customFormat="1" hidden="1" outlineLevel="1">
      <c r="A24" s="272"/>
      <c r="B24" s="103" t="s">
        <v>318</v>
      </c>
      <c r="C24" s="27"/>
      <c r="D24" s="27"/>
      <c r="E24" s="99"/>
      <c r="F24" s="95">
        <f t="shared" si="0"/>
        <v>0</v>
      </c>
      <c r="G24" s="272"/>
    </row>
    <row r="25" spans="1:7" s="3" customFormat="1" hidden="1" outlineLevel="1">
      <c r="A25" s="272"/>
      <c r="B25" s="103" t="s">
        <v>319</v>
      </c>
      <c r="C25" s="27"/>
      <c r="D25" s="27"/>
      <c r="E25" s="99"/>
      <c r="F25" s="95">
        <f t="shared" si="0"/>
        <v>0</v>
      </c>
      <c r="G25" s="272"/>
    </row>
    <row r="26" spans="1:7" s="3" customFormat="1" hidden="1" outlineLevel="1">
      <c r="A26" s="272"/>
      <c r="B26" s="103" t="s">
        <v>320</v>
      </c>
      <c r="C26" s="27"/>
      <c r="D26" s="27"/>
      <c r="E26" s="99"/>
      <c r="F26" s="95">
        <f t="shared" si="0"/>
        <v>0</v>
      </c>
      <c r="G26" s="272"/>
    </row>
    <row r="27" spans="1:7" s="3" customFormat="1" hidden="1" outlineLevel="1">
      <c r="A27" s="272"/>
      <c r="B27" s="103" t="s">
        <v>304</v>
      </c>
      <c r="C27" s="27"/>
      <c r="D27" s="27"/>
      <c r="E27" s="27"/>
      <c r="F27" s="95">
        <f t="shared" si="0"/>
        <v>0</v>
      </c>
      <c r="G27" s="272"/>
    </row>
    <row r="28" spans="1:7" s="3" customFormat="1">
      <c r="A28" s="272"/>
      <c r="B28" s="271" t="s">
        <v>321</v>
      </c>
      <c r="C28" s="271"/>
      <c r="D28" s="271"/>
      <c r="E28" s="271"/>
      <c r="F28" s="271"/>
      <c r="G28" s="96">
        <f>SUM(F16:F27)</f>
        <v>0</v>
      </c>
    </row>
    <row r="29" spans="1:7" s="4" customFormat="1" collapsed="1">
      <c r="A29" s="268" t="s">
        <v>322</v>
      </c>
      <c r="B29" s="268"/>
      <c r="C29" s="268"/>
      <c r="D29" s="268"/>
      <c r="E29" s="268"/>
      <c r="F29" s="268"/>
      <c r="G29" s="268"/>
    </row>
    <row r="30" spans="1:7" s="3" customFormat="1" ht="26.1" hidden="1" outlineLevel="1">
      <c r="A30" s="269" t="s">
        <v>119</v>
      </c>
      <c r="B30" s="104" t="s">
        <v>104</v>
      </c>
      <c r="C30" s="187" t="s">
        <v>300</v>
      </c>
      <c r="D30" s="178" t="s">
        <v>136</v>
      </c>
      <c r="E30" s="188" t="s">
        <v>301</v>
      </c>
      <c r="F30" s="187" t="s">
        <v>108</v>
      </c>
      <c r="G30" s="187" t="s">
        <v>109</v>
      </c>
    </row>
    <row r="31" spans="1:7" s="3" customFormat="1" hidden="1" outlineLevel="1">
      <c r="A31" s="269"/>
      <c r="B31" s="103" t="s">
        <v>323</v>
      </c>
      <c r="C31" s="186"/>
      <c r="D31" s="27"/>
      <c r="E31" s="99"/>
      <c r="F31" s="95">
        <f>D31*E31</f>
        <v>0</v>
      </c>
      <c r="G31" s="270"/>
    </row>
    <row r="32" spans="1:7" s="3" customFormat="1" hidden="1" outlineLevel="1">
      <c r="A32" s="269"/>
      <c r="B32" s="103" t="s">
        <v>324</v>
      </c>
      <c r="C32" s="27"/>
      <c r="D32" s="27"/>
      <c r="E32" s="100"/>
      <c r="F32" s="95">
        <f t="shared" ref="F32:F45" si="1">D32*E32</f>
        <v>0</v>
      </c>
      <c r="G32" s="270"/>
    </row>
    <row r="33" spans="1:7" s="3" customFormat="1" hidden="1" outlineLevel="1">
      <c r="A33" s="269"/>
      <c r="B33" s="103" t="s">
        <v>325</v>
      </c>
      <c r="C33" s="186"/>
      <c r="D33" s="27"/>
      <c r="E33" s="99"/>
      <c r="F33" s="95">
        <f t="shared" si="1"/>
        <v>0</v>
      </c>
      <c r="G33" s="270"/>
    </row>
    <row r="34" spans="1:7" s="3" customFormat="1" hidden="1" outlineLevel="1">
      <c r="A34" s="269"/>
      <c r="B34" s="103" t="s">
        <v>326</v>
      </c>
      <c r="C34" s="186"/>
      <c r="D34" s="27"/>
      <c r="E34" s="99"/>
      <c r="F34" s="95">
        <f t="shared" si="1"/>
        <v>0</v>
      </c>
      <c r="G34" s="270"/>
    </row>
    <row r="35" spans="1:7" s="3" customFormat="1" hidden="1" outlineLevel="1">
      <c r="A35" s="269"/>
      <c r="B35" s="103" t="s">
        <v>327</v>
      </c>
      <c r="C35" s="186"/>
      <c r="D35" s="27"/>
      <c r="E35" s="99"/>
      <c r="F35" s="95">
        <f t="shared" si="1"/>
        <v>0</v>
      </c>
      <c r="G35" s="270"/>
    </row>
    <row r="36" spans="1:7" s="3" customFormat="1" hidden="1" outlineLevel="1">
      <c r="A36" s="269"/>
      <c r="B36" s="103" t="s">
        <v>328</v>
      </c>
      <c r="C36" s="186"/>
      <c r="D36" s="27"/>
      <c r="E36" s="99"/>
      <c r="F36" s="95">
        <f t="shared" si="1"/>
        <v>0</v>
      </c>
      <c r="G36" s="270"/>
    </row>
    <row r="37" spans="1:7" s="3" customFormat="1" hidden="1" outlineLevel="1">
      <c r="A37" s="269"/>
      <c r="B37" s="103" t="s">
        <v>329</v>
      </c>
      <c r="C37" s="27"/>
      <c r="D37" s="27"/>
      <c r="E37" s="99"/>
      <c r="F37" s="95">
        <f t="shared" si="1"/>
        <v>0</v>
      </c>
      <c r="G37" s="270"/>
    </row>
    <row r="38" spans="1:7" s="3" customFormat="1" hidden="1" outlineLevel="1">
      <c r="A38" s="269"/>
      <c r="B38" s="103" t="s">
        <v>330</v>
      </c>
      <c r="C38" s="27"/>
      <c r="D38" s="27"/>
      <c r="E38" s="99"/>
      <c r="F38" s="95">
        <f t="shared" si="1"/>
        <v>0</v>
      </c>
      <c r="G38" s="270"/>
    </row>
    <row r="39" spans="1:7" s="3" customFormat="1" hidden="1" outlineLevel="1">
      <c r="A39" s="269"/>
      <c r="B39" s="103" t="s">
        <v>331</v>
      </c>
      <c r="C39" s="27"/>
      <c r="D39" s="27"/>
      <c r="E39" s="99"/>
      <c r="F39" s="95">
        <f t="shared" si="1"/>
        <v>0</v>
      </c>
      <c r="G39" s="270"/>
    </row>
    <row r="40" spans="1:7" s="3" customFormat="1" hidden="1" outlineLevel="1">
      <c r="A40" s="269"/>
      <c r="B40" s="103" t="s">
        <v>332</v>
      </c>
      <c r="C40" s="27"/>
      <c r="D40" s="27"/>
      <c r="E40" s="99"/>
      <c r="F40" s="95">
        <f t="shared" si="1"/>
        <v>0</v>
      </c>
      <c r="G40" s="270"/>
    </row>
    <row r="41" spans="1:7" s="3" customFormat="1" hidden="1" outlineLevel="1">
      <c r="A41" s="269"/>
      <c r="B41" s="103" t="s">
        <v>333</v>
      </c>
      <c r="C41" s="27"/>
      <c r="D41" s="27"/>
      <c r="E41" s="99"/>
      <c r="F41" s="95">
        <f t="shared" si="1"/>
        <v>0</v>
      </c>
      <c r="G41" s="270"/>
    </row>
    <row r="42" spans="1:7" s="3" customFormat="1" hidden="1" outlineLevel="1">
      <c r="A42" s="269"/>
      <c r="B42" s="103" t="s">
        <v>334</v>
      </c>
      <c r="C42" s="27"/>
      <c r="D42" s="27"/>
      <c r="E42" s="99"/>
      <c r="F42" s="95">
        <f t="shared" si="1"/>
        <v>0</v>
      </c>
      <c r="G42" s="270"/>
    </row>
    <row r="43" spans="1:7" s="3" customFormat="1" hidden="1" outlineLevel="1">
      <c r="A43" s="269"/>
      <c r="B43" s="103" t="s">
        <v>304</v>
      </c>
      <c r="C43" s="186"/>
      <c r="D43" s="27"/>
      <c r="E43" s="99"/>
      <c r="F43" s="95">
        <f t="shared" si="1"/>
        <v>0</v>
      </c>
      <c r="G43" s="270"/>
    </row>
    <row r="44" spans="1:7" s="3" customFormat="1" hidden="1" outlineLevel="1">
      <c r="A44" s="269"/>
      <c r="B44" s="103" t="s">
        <v>304</v>
      </c>
      <c r="C44" s="186"/>
      <c r="D44" s="27"/>
      <c r="E44" s="99"/>
      <c r="F44" s="95">
        <f t="shared" si="1"/>
        <v>0</v>
      </c>
      <c r="G44" s="270"/>
    </row>
    <row r="45" spans="1:7" s="3" customFormat="1" hidden="1" outlineLevel="1">
      <c r="A45" s="269"/>
      <c r="B45" s="103" t="s">
        <v>304</v>
      </c>
      <c r="C45" s="186"/>
      <c r="D45" s="27"/>
      <c r="E45" s="99"/>
      <c r="F45" s="95">
        <f t="shared" si="1"/>
        <v>0</v>
      </c>
      <c r="G45" s="270"/>
    </row>
    <row r="46" spans="1:7" s="3" customFormat="1">
      <c r="A46" s="269"/>
      <c r="B46" s="271" t="s">
        <v>335</v>
      </c>
      <c r="C46" s="271"/>
      <c r="D46" s="271"/>
      <c r="E46" s="271"/>
      <c r="F46" s="271"/>
      <c r="G46" s="96">
        <f>SUM(F31:F45)</f>
        <v>0</v>
      </c>
    </row>
    <row r="47" spans="1:7" s="4" customFormat="1" collapsed="1">
      <c r="A47" s="268" t="s">
        <v>336</v>
      </c>
      <c r="B47" s="268"/>
      <c r="C47" s="268"/>
      <c r="D47" s="268"/>
      <c r="E47" s="268"/>
      <c r="F47" s="268"/>
      <c r="G47" s="268"/>
    </row>
    <row r="48" spans="1:7" s="3" customFormat="1" ht="26.1" hidden="1" outlineLevel="1">
      <c r="A48" s="269" t="s">
        <v>103</v>
      </c>
      <c r="B48" s="104" t="s">
        <v>104</v>
      </c>
      <c r="C48" s="187" t="s">
        <v>300</v>
      </c>
      <c r="D48" s="178" t="s">
        <v>136</v>
      </c>
      <c r="E48" s="188" t="s">
        <v>301</v>
      </c>
      <c r="F48" s="187" t="s">
        <v>108</v>
      </c>
      <c r="G48" s="187" t="s">
        <v>109</v>
      </c>
    </row>
    <row r="49" spans="1:7" s="3" customFormat="1" hidden="1" outlineLevel="1">
      <c r="A49" s="269"/>
      <c r="B49" s="103" t="s">
        <v>337</v>
      </c>
      <c r="C49" s="27"/>
      <c r="D49" s="27"/>
      <c r="E49" s="99"/>
      <c r="F49" s="95">
        <f>D49*E49</f>
        <v>0</v>
      </c>
      <c r="G49" s="270"/>
    </row>
    <row r="50" spans="1:7" s="3" customFormat="1" hidden="1" outlineLevel="1">
      <c r="A50" s="269"/>
      <c r="B50" s="103" t="s">
        <v>338</v>
      </c>
      <c r="C50" s="27"/>
      <c r="D50" s="27"/>
      <c r="E50" s="99"/>
      <c r="F50" s="95">
        <f>D50*E50</f>
        <v>0</v>
      </c>
      <c r="G50" s="270"/>
    </row>
    <row r="51" spans="1:7" s="3" customFormat="1" hidden="1" outlineLevel="1">
      <c r="A51" s="269"/>
      <c r="B51" s="103" t="s">
        <v>304</v>
      </c>
      <c r="C51" s="27"/>
      <c r="D51" s="27"/>
      <c r="E51" s="27"/>
      <c r="F51" s="95">
        <f>D51*E51</f>
        <v>0</v>
      </c>
      <c r="G51" s="270"/>
    </row>
    <row r="52" spans="1:7" s="3" customFormat="1" hidden="1" outlineLevel="1">
      <c r="A52" s="269"/>
      <c r="B52" s="278" t="s">
        <v>305</v>
      </c>
      <c r="C52" s="278"/>
      <c r="D52" s="278"/>
      <c r="E52" s="278"/>
      <c r="F52" s="278"/>
      <c r="G52" s="270"/>
    </row>
    <row r="53" spans="1:7" s="3" customFormat="1">
      <c r="A53" s="269"/>
      <c r="B53" s="271" t="s">
        <v>339</v>
      </c>
      <c r="C53" s="271"/>
      <c r="D53" s="271"/>
      <c r="E53" s="271"/>
      <c r="F53" s="271"/>
      <c r="G53" s="96">
        <f>SUM(F49:F51)</f>
        <v>0</v>
      </c>
    </row>
    <row r="54" spans="1:7" s="4" customFormat="1" collapsed="1">
      <c r="A54" s="268" t="s">
        <v>340</v>
      </c>
      <c r="B54" s="268"/>
      <c r="C54" s="268"/>
      <c r="D54" s="268"/>
      <c r="E54" s="268"/>
      <c r="F54" s="268"/>
      <c r="G54" s="268"/>
    </row>
    <row r="55" spans="1:7" s="3" customFormat="1" ht="26.1" hidden="1" outlineLevel="1">
      <c r="A55" s="269" t="s">
        <v>103</v>
      </c>
      <c r="B55" s="104" t="s">
        <v>104</v>
      </c>
      <c r="C55" s="187" t="s">
        <v>300</v>
      </c>
      <c r="D55" s="178" t="s">
        <v>136</v>
      </c>
      <c r="E55" s="188" t="s">
        <v>301</v>
      </c>
      <c r="F55" s="187" t="s">
        <v>108</v>
      </c>
      <c r="G55" s="187" t="s">
        <v>109</v>
      </c>
    </row>
    <row r="56" spans="1:7" s="3" customFormat="1" hidden="1" outlineLevel="1">
      <c r="A56" s="269"/>
      <c r="B56" s="103" t="s">
        <v>341</v>
      </c>
      <c r="C56" s="186"/>
      <c r="D56" s="27"/>
      <c r="E56" s="99"/>
      <c r="F56" s="95">
        <f>D56*E56</f>
        <v>0</v>
      </c>
      <c r="G56" s="270"/>
    </row>
    <row r="57" spans="1:7" s="3" customFormat="1" hidden="1" outlineLevel="1">
      <c r="A57" s="269"/>
      <c r="B57" s="103" t="s">
        <v>342</v>
      </c>
      <c r="C57" s="27"/>
      <c r="D57" s="27"/>
      <c r="E57" s="99"/>
      <c r="F57" s="95">
        <f t="shared" ref="F57:F62" si="2">D57*E57</f>
        <v>0</v>
      </c>
      <c r="G57" s="270"/>
    </row>
    <row r="58" spans="1:7" s="3" customFormat="1" hidden="1" outlineLevel="1">
      <c r="A58" s="269"/>
      <c r="B58" s="103" t="s">
        <v>343</v>
      </c>
      <c r="C58" s="27"/>
      <c r="D58" s="27"/>
      <c r="E58" s="99"/>
      <c r="F58" s="95">
        <f t="shared" si="2"/>
        <v>0</v>
      </c>
      <c r="G58" s="270"/>
    </row>
    <row r="59" spans="1:7" s="3" customFormat="1" hidden="1" outlineLevel="1">
      <c r="A59" s="269"/>
      <c r="B59" s="103" t="s">
        <v>344</v>
      </c>
      <c r="C59" s="27"/>
      <c r="D59" s="27"/>
      <c r="E59" s="99"/>
      <c r="F59" s="95">
        <f t="shared" si="2"/>
        <v>0</v>
      </c>
      <c r="G59" s="270"/>
    </row>
    <row r="60" spans="1:7" s="3" customFormat="1" hidden="1" outlineLevel="1">
      <c r="A60" s="269"/>
      <c r="B60" s="103" t="s">
        <v>345</v>
      </c>
      <c r="C60" s="27"/>
      <c r="D60" s="27"/>
      <c r="E60" s="27"/>
      <c r="F60" s="95">
        <f t="shared" si="2"/>
        <v>0</v>
      </c>
      <c r="G60" s="270"/>
    </row>
    <row r="61" spans="1:7" s="3" customFormat="1" hidden="1" outlineLevel="1">
      <c r="A61" s="269"/>
      <c r="B61" s="103" t="s">
        <v>346</v>
      </c>
      <c r="C61" s="27"/>
      <c r="D61" s="27"/>
      <c r="E61" s="99"/>
      <c r="F61" s="95">
        <f t="shared" si="2"/>
        <v>0</v>
      </c>
      <c r="G61" s="270"/>
    </row>
    <row r="62" spans="1:7" s="3" customFormat="1" hidden="1" outlineLevel="1">
      <c r="A62" s="269"/>
      <c r="B62" s="103" t="s">
        <v>304</v>
      </c>
      <c r="C62" s="27"/>
      <c r="D62" s="27"/>
      <c r="E62" s="27"/>
      <c r="F62" s="95">
        <f t="shared" si="2"/>
        <v>0</v>
      </c>
      <c r="G62" s="270"/>
    </row>
    <row r="63" spans="1:7" s="3" customFormat="1" hidden="1" outlineLevel="1">
      <c r="A63" s="269"/>
      <c r="B63" s="278" t="s">
        <v>305</v>
      </c>
      <c r="C63" s="278"/>
      <c r="D63" s="278"/>
      <c r="E63" s="278"/>
      <c r="F63" s="278"/>
      <c r="G63" s="270"/>
    </row>
    <row r="64" spans="1:7" s="3" customFormat="1">
      <c r="A64" s="269"/>
      <c r="B64" s="271" t="s">
        <v>347</v>
      </c>
      <c r="C64" s="271"/>
      <c r="D64" s="271"/>
      <c r="E64" s="271"/>
      <c r="F64" s="271"/>
      <c r="G64" s="96">
        <f>SUM(F56:F62)</f>
        <v>0</v>
      </c>
    </row>
    <row r="65" spans="1:7" s="4" customFormat="1" collapsed="1">
      <c r="A65" s="268" t="s">
        <v>348</v>
      </c>
      <c r="B65" s="268"/>
      <c r="C65" s="268"/>
      <c r="D65" s="268"/>
      <c r="E65" s="268"/>
      <c r="F65" s="268"/>
      <c r="G65" s="268"/>
    </row>
    <row r="66" spans="1:7" s="3" customFormat="1" ht="26.1" hidden="1" outlineLevel="1">
      <c r="A66" s="279" t="s">
        <v>103</v>
      </c>
      <c r="B66" s="104" t="s">
        <v>104</v>
      </c>
      <c r="C66" s="187" t="s">
        <v>300</v>
      </c>
      <c r="D66" s="178" t="s">
        <v>136</v>
      </c>
      <c r="E66" s="188" t="s">
        <v>301</v>
      </c>
      <c r="F66" s="187" t="s">
        <v>108</v>
      </c>
      <c r="G66" s="187" t="s">
        <v>109</v>
      </c>
    </row>
    <row r="67" spans="1:7" s="3" customFormat="1" hidden="1" outlineLevel="1">
      <c r="A67" s="279"/>
      <c r="B67" s="103" t="s">
        <v>348</v>
      </c>
      <c r="C67" s="186"/>
      <c r="D67" s="27"/>
      <c r="E67" s="99"/>
      <c r="F67" s="95">
        <f>D67*E67</f>
        <v>0</v>
      </c>
      <c r="G67" s="270"/>
    </row>
    <row r="68" spans="1:7" s="3" customFormat="1" hidden="1" outlineLevel="1">
      <c r="A68" s="279"/>
      <c r="B68" s="103" t="s">
        <v>304</v>
      </c>
      <c r="C68" s="27"/>
      <c r="D68" s="27"/>
      <c r="E68" s="27"/>
      <c r="F68" s="95">
        <f>D68*E68</f>
        <v>0</v>
      </c>
      <c r="G68" s="270"/>
    </row>
    <row r="69" spans="1:7" s="3" customFormat="1">
      <c r="A69" s="279"/>
      <c r="B69" s="271" t="s">
        <v>349</v>
      </c>
      <c r="C69" s="271"/>
      <c r="D69" s="271"/>
      <c r="E69" s="271"/>
      <c r="F69" s="271"/>
      <c r="G69" s="96">
        <f>SUM(F67:F68)</f>
        <v>0</v>
      </c>
    </row>
    <row r="70" spans="1:7" s="4" customFormat="1" collapsed="1">
      <c r="A70" s="268" t="s">
        <v>350</v>
      </c>
      <c r="B70" s="268"/>
      <c r="C70" s="268"/>
      <c r="D70" s="268"/>
      <c r="E70" s="268"/>
      <c r="F70" s="268"/>
      <c r="G70" s="268"/>
    </row>
    <row r="71" spans="1:7" s="3" customFormat="1" ht="26.1" hidden="1" outlineLevel="1">
      <c r="A71" s="269" t="s">
        <v>103</v>
      </c>
      <c r="B71" s="104" t="s">
        <v>104</v>
      </c>
      <c r="C71" s="187" t="s">
        <v>300</v>
      </c>
      <c r="D71" s="178" t="s">
        <v>136</v>
      </c>
      <c r="E71" s="188" t="s">
        <v>301</v>
      </c>
      <c r="F71" s="187" t="s">
        <v>108</v>
      </c>
      <c r="G71" s="187" t="s">
        <v>109</v>
      </c>
    </row>
    <row r="72" spans="1:7" s="3" customFormat="1" hidden="1" outlineLevel="1">
      <c r="A72" s="269"/>
      <c r="B72" s="103" t="s">
        <v>351</v>
      </c>
      <c r="C72" s="186"/>
      <c r="D72" s="27"/>
      <c r="E72" s="99"/>
      <c r="F72" s="95">
        <f>D72*E72</f>
        <v>0</v>
      </c>
      <c r="G72" s="270"/>
    </row>
    <row r="73" spans="1:7" s="3" customFormat="1" hidden="1" outlineLevel="1">
      <c r="A73" s="269"/>
      <c r="B73" s="103" t="s">
        <v>352</v>
      </c>
      <c r="C73" s="186"/>
      <c r="D73" s="27"/>
      <c r="E73" s="99"/>
      <c r="F73" s="95">
        <f>D73*E73</f>
        <v>0</v>
      </c>
      <c r="G73" s="270"/>
    </row>
    <row r="74" spans="1:7" s="3" customFormat="1" hidden="1" outlineLevel="1">
      <c r="A74" s="269"/>
      <c r="B74" s="103" t="s">
        <v>304</v>
      </c>
      <c r="C74" s="27"/>
      <c r="D74" s="27"/>
      <c r="E74" s="27"/>
      <c r="F74" s="95">
        <f>D74*E74</f>
        <v>0</v>
      </c>
      <c r="G74" s="270"/>
    </row>
    <row r="75" spans="1:7" s="3" customFormat="1" hidden="1" outlineLevel="1">
      <c r="A75" s="269"/>
      <c r="B75" s="278" t="s">
        <v>305</v>
      </c>
      <c r="C75" s="278"/>
      <c r="D75" s="278"/>
      <c r="E75" s="278"/>
      <c r="F75" s="278"/>
      <c r="G75" s="270"/>
    </row>
    <row r="76" spans="1:7" s="3" customFormat="1">
      <c r="A76" s="269"/>
      <c r="B76" s="271" t="s">
        <v>353</v>
      </c>
      <c r="C76" s="271"/>
      <c r="D76" s="271"/>
      <c r="E76" s="271"/>
      <c r="F76" s="271"/>
      <c r="G76" s="96">
        <f>SUM(F72:F74)</f>
        <v>0</v>
      </c>
    </row>
    <row r="77" spans="1:7" s="4" customFormat="1" collapsed="1">
      <c r="A77" s="268" t="s">
        <v>354</v>
      </c>
      <c r="B77" s="268"/>
      <c r="C77" s="268"/>
      <c r="D77" s="268"/>
      <c r="E77" s="268"/>
      <c r="F77" s="268"/>
      <c r="G77" s="268"/>
    </row>
    <row r="78" spans="1:7" s="3" customFormat="1" ht="26.1" hidden="1" outlineLevel="1">
      <c r="A78" s="269" t="s">
        <v>103</v>
      </c>
      <c r="B78" s="104" t="s">
        <v>104</v>
      </c>
      <c r="C78" s="187" t="s">
        <v>300</v>
      </c>
      <c r="D78" s="178" t="s">
        <v>136</v>
      </c>
      <c r="E78" s="188" t="s">
        <v>301</v>
      </c>
      <c r="F78" s="187" t="s">
        <v>108</v>
      </c>
      <c r="G78" s="187" t="s">
        <v>109</v>
      </c>
    </row>
    <row r="79" spans="1:7" s="3" customFormat="1" hidden="1" outlineLevel="1">
      <c r="A79" s="269"/>
      <c r="B79" s="103" t="s">
        <v>355</v>
      </c>
      <c r="C79" s="186"/>
      <c r="D79" s="27"/>
      <c r="E79" s="99"/>
      <c r="F79" s="95">
        <f>D79*E79</f>
        <v>0</v>
      </c>
      <c r="G79" s="270"/>
    </row>
    <row r="80" spans="1:7" s="3" customFormat="1" hidden="1" outlineLevel="1">
      <c r="A80" s="269"/>
      <c r="B80" s="103" t="s">
        <v>356</v>
      </c>
      <c r="C80" s="186"/>
      <c r="D80" s="27"/>
      <c r="E80" s="99"/>
      <c r="F80" s="95">
        <f>D80*E80</f>
        <v>0</v>
      </c>
      <c r="G80" s="270"/>
    </row>
    <row r="81" spans="1:7" s="3" customFormat="1" hidden="1" outlineLevel="1">
      <c r="A81" s="269"/>
      <c r="B81" s="103" t="s">
        <v>304</v>
      </c>
      <c r="C81" s="27"/>
      <c r="D81" s="27"/>
      <c r="E81" s="27"/>
      <c r="F81" s="95">
        <f>D81*E81</f>
        <v>0</v>
      </c>
      <c r="G81" s="270"/>
    </row>
    <row r="82" spans="1:7" s="3" customFormat="1">
      <c r="A82" s="269"/>
      <c r="B82" s="271" t="s">
        <v>357</v>
      </c>
      <c r="C82" s="271"/>
      <c r="D82" s="271"/>
      <c r="E82" s="271"/>
      <c r="F82" s="271"/>
      <c r="G82" s="96">
        <f>SUM(F79:F81)</f>
        <v>0</v>
      </c>
    </row>
    <row r="83" spans="1:7" s="4" customFormat="1" collapsed="1">
      <c r="A83" s="268" t="s">
        <v>358</v>
      </c>
      <c r="B83" s="268"/>
      <c r="C83" s="268"/>
      <c r="D83" s="268"/>
      <c r="E83" s="268"/>
      <c r="F83" s="268"/>
      <c r="G83" s="268"/>
    </row>
    <row r="84" spans="1:7" s="3" customFormat="1" ht="26.1" hidden="1" outlineLevel="1">
      <c r="A84" s="272" t="s">
        <v>359</v>
      </c>
      <c r="B84" s="104" t="s">
        <v>104</v>
      </c>
      <c r="C84" s="187" t="s">
        <v>300</v>
      </c>
      <c r="D84" s="178" t="s">
        <v>136</v>
      </c>
      <c r="E84" s="188" t="s">
        <v>301</v>
      </c>
      <c r="F84" s="187" t="s">
        <v>108</v>
      </c>
      <c r="G84" s="187" t="s">
        <v>109</v>
      </c>
    </row>
    <row r="85" spans="1:7" s="3" customFormat="1" hidden="1" outlineLevel="1">
      <c r="A85" s="272"/>
      <c r="B85" s="103" t="s">
        <v>360</v>
      </c>
      <c r="C85" s="186"/>
      <c r="D85" s="27"/>
      <c r="E85" s="100"/>
      <c r="F85" s="95">
        <f>D85*E85</f>
        <v>0</v>
      </c>
      <c r="G85" s="270"/>
    </row>
    <row r="86" spans="1:7" s="3" customFormat="1" hidden="1" outlineLevel="1">
      <c r="A86" s="272"/>
      <c r="B86" s="103" t="s">
        <v>304</v>
      </c>
      <c r="C86" s="186"/>
      <c r="D86" s="27"/>
      <c r="E86" s="99"/>
      <c r="F86" s="95">
        <f>D86*E86</f>
        <v>0</v>
      </c>
      <c r="G86" s="270"/>
    </row>
    <row r="87" spans="1:7" s="3" customFormat="1" hidden="1" outlineLevel="1">
      <c r="A87" s="272"/>
      <c r="B87" s="103" t="s">
        <v>304</v>
      </c>
      <c r="C87" s="27"/>
      <c r="D87" s="27"/>
      <c r="E87" s="27"/>
      <c r="F87" s="95">
        <f>D87*E87</f>
        <v>0</v>
      </c>
      <c r="G87" s="270"/>
    </row>
    <row r="88" spans="1:7" s="3" customFormat="1" hidden="1" outlineLevel="1">
      <c r="A88" s="272"/>
      <c r="B88" s="278" t="s">
        <v>305</v>
      </c>
      <c r="C88" s="278"/>
      <c r="D88" s="278"/>
      <c r="E88" s="278"/>
      <c r="F88" s="278"/>
      <c r="G88" s="270"/>
    </row>
    <row r="89" spans="1:7" s="3" customFormat="1">
      <c r="A89" s="272"/>
      <c r="B89" s="271" t="s">
        <v>361</v>
      </c>
      <c r="C89" s="271"/>
      <c r="D89" s="271"/>
      <c r="E89" s="271"/>
      <c r="F89" s="271"/>
      <c r="G89" s="96">
        <f>SUM(F85:F87)</f>
        <v>0</v>
      </c>
    </row>
    <row r="90" spans="1:7" s="4" customFormat="1" collapsed="1">
      <c r="A90" s="268" t="s">
        <v>362</v>
      </c>
      <c r="B90" s="268"/>
      <c r="C90" s="268"/>
      <c r="D90" s="268"/>
      <c r="E90" s="268"/>
      <c r="F90" s="268"/>
      <c r="G90" s="268"/>
    </row>
    <row r="91" spans="1:7" s="3" customFormat="1" ht="26.1" hidden="1" outlineLevel="1">
      <c r="A91" s="269" t="s">
        <v>103</v>
      </c>
      <c r="B91" s="104" t="s">
        <v>104</v>
      </c>
      <c r="C91" s="187" t="s">
        <v>300</v>
      </c>
      <c r="D91" s="178" t="s">
        <v>136</v>
      </c>
      <c r="E91" s="188" t="s">
        <v>301</v>
      </c>
      <c r="F91" s="187" t="s">
        <v>108</v>
      </c>
      <c r="G91" s="187" t="s">
        <v>109</v>
      </c>
    </row>
    <row r="92" spans="1:7" s="3" customFormat="1" hidden="1" outlineLevel="1">
      <c r="A92" s="269"/>
      <c r="B92" s="103" t="s">
        <v>363</v>
      </c>
      <c r="C92" s="186"/>
      <c r="D92" s="27"/>
      <c r="E92" s="99"/>
      <c r="F92" s="95">
        <f>D92*E92</f>
        <v>0</v>
      </c>
      <c r="G92" s="270"/>
    </row>
    <row r="93" spans="1:7" s="3" customFormat="1" hidden="1" outlineLevel="1">
      <c r="A93" s="269"/>
      <c r="B93" s="103" t="s">
        <v>304</v>
      </c>
      <c r="C93" s="27"/>
      <c r="D93" s="27"/>
      <c r="E93" s="27"/>
      <c r="F93" s="95">
        <f>D93*E93</f>
        <v>0</v>
      </c>
      <c r="G93" s="270"/>
    </row>
    <row r="94" spans="1:7" s="3" customFormat="1">
      <c r="A94" s="269"/>
      <c r="B94" s="271" t="s">
        <v>364</v>
      </c>
      <c r="C94" s="271"/>
      <c r="D94" s="271"/>
      <c r="E94" s="271"/>
      <c r="F94" s="271"/>
      <c r="G94" s="96">
        <f>SUM(F92:F93)</f>
        <v>0</v>
      </c>
    </row>
    <row r="95" spans="1:7" s="4" customFormat="1" collapsed="1">
      <c r="A95" s="268" t="s">
        <v>365</v>
      </c>
      <c r="B95" s="268"/>
      <c r="C95" s="268"/>
      <c r="D95" s="268"/>
      <c r="E95" s="268"/>
      <c r="F95" s="268"/>
      <c r="G95" s="268"/>
    </row>
    <row r="96" spans="1:7" s="3" customFormat="1" ht="26.1" hidden="1" outlineLevel="1">
      <c r="A96" s="272"/>
      <c r="B96" s="104" t="s">
        <v>104</v>
      </c>
      <c r="C96" s="187" t="s">
        <v>300</v>
      </c>
      <c r="D96" s="178" t="s">
        <v>136</v>
      </c>
      <c r="E96" s="188" t="s">
        <v>301</v>
      </c>
      <c r="F96" s="187" t="s">
        <v>108</v>
      </c>
      <c r="G96" s="187" t="s">
        <v>109</v>
      </c>
    </row>
    <row r="97" spans="1:7" s="3" customFormat="1" hidden="1" outlineLevel="1">
      <c r="A97" s="272"/>
      <c r="B97" s="103" t="s">
        <v>366</v>
      </c>
      <c r="C97" s="186"/>
      <c r="D97" s="27"/>
      <c r="E97" s="99"/>
      <c r="F97" s="95">
        <f>D97*E97</f>
        <v>0</v>
      </c>
      <c r="G97" s="270"/>
    </row>
    <row r="98" spans="1:7" s="3" customFormat="1" hidden="1" outlineLevel="1">
      <c r="A98" s="272"/>
      <c r="B98" s="103" t="s">
        <v>367</v>
      </c>
      <c r="C98" s="186"/>
      <c r="D98" s="27"/>
      <c r="E98" s="99"/>
      <c r="F98" s="95">
        <f>D98*E98</f>
        <v>0</v>
      </c>
      <c r="G98" s="270"/>
    </row>
    <row r="99" spans="1:7" s="3" customFormat="1" hidden="1" outlineLevel="1">
      <c r="A99" s="272"/>
      <c r="B99" s="103" t="s">
        <v>368</v>
      </c>
      <c r="C99" s="186"/>
      <c r="D99" s="27"/>
      <c r="E99" s="99"/>
      <c r="F99" s="95">
        <f>D99*E99</f>
        <v>0</v>
      </c>
      <c r="G99" s="270"/>
    </row>
    <row r="100" spans="1:7" s="3" customFormat="1" hidden="1" outlineLevel="1">
      <c r="A100" s="272"/>
      <c r="B100" s="103" t="s">
        <v>369</v>
      </c>
      <c r="C100" s="186"/>
      <c r="D100" s="27"/>
      <c r="E100" s="99"/>
      <c r="F100" s="95">
        <f>D100*E100</f>
        <v>0</v>
      </c>
      <c r="G100" s="270"/>
    </row>
    <row r="101" spans="1:7" s="3" customFormat="1" hidden="1" outlineLevel="1">
      <c r="A101" s="272"/>
      <c r="B101" s="103" t="s">
        <v>304</v>
      </c>
      <c r="C101" s="27"/>
      <c r="D101" s="27"/>
      <c r="E101" s="27"/>
      <c r="F101" s="95">
        <f>D101*E101</f>
        <v>0</v>
      </c>
      <c r="G101" s="270"/>
    </row>
    <row r="102" spans="1:7" s="3" customFormat="1">
      <c r="A102" s="272"/>
      <c r="B102" s="271" t="s">
        <v>370</v>
      </c>
      <c r="C102" s="271"/>
      <c r="D102" s="271"/>
      <c r="E102" s="271"/>
      <c r="F102" s="271"/>
      <c r="G102" s="96">
        <f>SUM(F97:F101)</f>
        <v>0</v>
      </c>
    </row>
    <row r="103" spans="1:7" s="4" customFormat="1" collapsed="1">
      <c r="A103" s="268" t="s">
        <v>371</v>
      </c>
      <c r="B103" s="268"/>
      <c r="C103" s="268"/>
      <c r="D103" s="268"/>
      <c r="E103" s="268"/>
      <c r="F103" s="268"/>
      <c r="G103" s="268"/>
    </row>
    <row r="104" spans="1:7" s="3" customFormat="1" ht="26.1" hidden="1" outlineLevel="1">
      <c r="A104" s="269" t="s">
        <v>103</v>
      </c>
      <c r="B104" s="104" t="s">
        <v>104</v>
      </c>
      <c r="C104" s="187" t="s">
        <v>300</v>
      </c>
      <c r="D104" s="178" t="s">
        <v>136</v>
      </c>
      <c r="E104" s="188" t="s">
        <v>301</v>
      </c>
      <c r="F104" s="187" t="s">
        <v>108</v>
      </c>
      <c r="G104" s="187" t="s">
        <v>109</v>
      </c>
    </row>
    <row r="105" spans="1:7" s="3" customFormat="1" hidden="1" outlineLevel="1">
      <c r="A105" s="269"/>
      <c r="B105" s="103" t="s">
        <v>372</v>
      </c>
      <c r="C105" s="27"/>
      <c r="D105" s="27"/>
      <c r="E105" s="99"/>
      <c r="F105" s="95">
        <f>D105*E105</f>
        <v>0</v>
      </c>
      <c r="G105" s="270"/>
    </row>
    <row r="106" spans="1:7" s="3" customFormat="1" hidden="1" outlineLevel="1">
      <c r="A106" s="269"/>
      <c r="B106" s="103" t="s">
        <v>373</v>
      </c>
      <c r="C106" s="27"/>
      <c r="D106" s="27"/>
      <c r="E106" s="99"/>
      <c r="F106" s="95">
        <f>D106*E106</f>
        <v>0</v>
      </c>
      <c r="G106" s="270"/>
    </row>
    <row r="107" spans="1:7" s="3" customFormat="1" hidden="1" outlineLevel="1">
      <c r="A107" s="269"/>
      <c r="B107" s="103" t="s">
        <v>374</v>
      </c>
      <c r="C107" s="27"/>
      <c r="D107" s="27"/>
      <c r="E107" s="99"/>
      <c r="F107" s="95">
        <f>D107*E107</f>
        <v>0</v>
      </c>
      <c r="G107" s="270"/>
    </row>
    <row r="108" spans="1:7" s="3" customFormat="1" hidden="1" outlineLevel="1">
      <c r="A108" s="269"/>
      <c r="B108" s="103" t="s">
        <v>375</v>
      </c>
      <c r="C108" s="27"/>
      <c r="D108" s="27"/>
      <c r="E108" s="99"/>
      <c r="F108" s="95">
        <f>D108*E108</f>
        <v>0</v>
      </c>
      <c r="G108" s="270"/>
    </row>
    <row r="109" spans="1:7" s="3" customFormat="1" hidden="1" outlineLevel="1">
      <c r="A109" s="269"/>
      <c r="B109" s="103" t="s">
        <v>304</v>
      </c>
      <c r="C109" s="27"/>
      <c r="D109" s="27"/>
      <c r="E109" s="27"/>
      <c r="F109" s="95">
        <f>D109*E109</f>
        <v>0</v>
      </c>
      <c r="G109" s="270"/>
    </row>
    <row r="110" spans="1:7" s="3" customFormat="1">
      <c r="A110" s="269"/>
      <c r="B110" s="271" t="s">
        <v>376</v>
      </c>
      <c r="C110" s="271"/>
      <c r="D110" s="271"/>
      <c r="E110" s="271"/>
      <c r="F110" s="271"/>
      <c r="G110" s="96">
        <f>SUM(F105:F109)</f>
        <v>0</v>
      </c>
    </row>
    <row r="111" spans="1:7" s="4" customFormat="1" collapsed="1">
      <c r="A111" s="268" t="s">
        <v>377</v>
      </c>
      <c r="B111" s="268"/>
      <c r="C111" s="268"/>
      <c r="D111" s="268"/>
      <c r="E111" s="268"/>
      <c r="F111" s="268"/>
      <c r="G111" s="268"/>
    </row>
    <row r="112" spans="1:7" s="3" customFormat="1" ht="26.1" hidden="1" outlineLevel="1">
      <c r="A112" s="269" t="s">
        <v>103</v>
      </c>
      <c r="B112" s="104" t="s">
        <v>104</v>
      </c>
      <c r="C112" s="187" t="s">
        <v>300</v>
      </c>
      <c r="D112" s="178" t="s">
        <v>136</v>
      </c>
      <c r="E112" s="188" t="s">
        <v>301</v>
      </c>
      <c r="F112" s="187" t="s">
        <v>108</v>
      </c>
      <c r="G112" s="187" t="s">
        <v>109</v>
      </c>
    </row>
    <row r="113" spans="1:7" s="3" customFormat="1" hidden="1" outlineLevel="1">
      <c r="A113" s="269"/>
      <c r="B113" s="103" t="s">
        <v>378</v>
      </c>
      <c r="C113" s="186"/>
      <c r="D113" s="27"/>
      <c r="E113" s="99"/>
      <c r="F113" s="95">
        <f>D113*E113</f>
        <v>0</v>
      </c>
      <c r="G113" s="272"/>
    </row>
    <row r="114" spans="1:7" s="3" customFormat="1" hidden="1" outlineLevel="1">
      <c r="A114" s="269"/>
      <c r="B114" s="103" t="s">
        <v>379</v>
      </c>
      <c r="C114" s="186"/>
      <c r="D114" s="27"/>
      <c r="E114" s="99"/>
      <c r="F114" s="95">
        <f>D114*E114</f>
        <v>0</v>
      </c>
      <c r="G114" s="272"/>
    </row>
    <row r="115" spans="1:7" s="3" customFormat="1" hidden="1" outlineLevel="1">
      <c r="A115" s="269"/>
      <c r="B115" s="103" t="s">
        <v>304</v>
      </c>
      <c r="C115" s="186"/>
      <c r="D115" s="27"/>
      <c r="E115" s="99"/>
      <c r="F115" s="95">
        <f>D115*E115</f>
        <v>0</v>
      </c>
      <c r="G115" s="272"/>
    </row>
    <row r="116" spans="1:7" s="3" customFormat="1">
      <c r="A116" s="269"/>
      <c r="B116" s="271" t="s">
        <v>380</v>
      </c>
      <c r="C116" s="271"/>
      <c r="D116" s="271"/>
      <c r="E116" s="271"/>
      <c r="F116" s="271"/>
      <c r="G116" s="96">
        <f>SUM(F113:F115)</f>
        <v>0</v>
      </c>
    </row>
    <row r="117" spans="1:7" s="4" customFormat="1" collapsed="1">
      <c r="A117" s="268" t="s">
        <v>381</v>
      </c>
      <c r="B117" s="268"/>
      <c r="C117" s="268"/>
      <c r="D117" s="268"/>
      <c r="E117" s="268"/>
      <c r="F117" s="268"/>
      <c r="G117" s="268"/>
    </row>
    <row r="118" spans="1:7" s="3" customFormat="1" ht="26.1" hidden="1" outlineLevel="1">
      <c r="A118" s="269" t="s">
        <v>103</v>
      </c>
      <c r="B118" s="104" t="s">
        <v>104</v>
      </c>
      <c r="C118" s="187" t="s">
        <v>300</v>
      </c>
      <c r="D118" s="178" t="s">
        <v>136</v>
      </c>
      <c r="E118" s="188" t="s">
        <v>301</v>
      </c>
      <c r="F118" s="187" t="s">
        <v>108</v>
      </c>
      <c r="G118" s="187" t="s">
        <v>109</v>
      </c>
    </row>
    <row r="119" spans="1:7" s="3" customFormat="1" hidden="1" outlineLevel="1">
      <c r="A119" s="269"/>
      <c r="B119" s="103" t="s">
        <v>382</v>
      </c>
      <c r="C119" s="186"/>
      <c r="D119" s="27"/>
      <c r="E119" s="99"/>
      <c r="F119" s="95">
        <f>D119*E119</f>
        <v>0</v>
      </c>
      <c r="G119" s="270"/>
    </row>
    <row r="120" spans="1:7" s="3" customFormat="1" hidden="1" outlineLevel="1">
      <c r="A120" s="269"/>
      <c r="B120" s="103" t="s">
        <v>383</v>
      </c>
      <c r="C120" s="186"/>
      <c r="D120" s="27"/>
      <c r="E120" s="99"/>
      <c r="F120" s="95">
        <f>D120*E120</f>
        <v>0</v>
      </c>
      <c r="G120" s="270"/>
    </row>
    <row r="121" spans="1:7" s="3" customFormat="1" hidden="1" outlineLevel="1">
      <c r="A121" s="269"/>
      <c r="B121" s="103" t="s">
        <v>304</v>
      </c>
      <c r="C121" s="27"/>
      <c r="D121" s="27"/>
      <c r="E121" s="27"/>
      <c r="F121" s="95">
        <f>D121*E121</f>
        <v>0</v>
      </c>
      <c r="G121" s="270"/>
    </row>
    <row r="122" spans="1:7" s="3" customFormat="1">
      <c r="A122" s="269"/>
      <c r="B122" s="271" t="s">
        <v>384</v>
      </c>
      <c r="C122" s="271"/>
      <c r="D122" s="271"/>
      <c r="E122" s="271"/>
      <c r="F122" s="271"/>
      <c r="G122" s="96">
        <f>SUM(F119:F121)</f>
        <v>0</v>
      </c>
    </row>
    <row r="123" spans="1:7" s="4" customFormat="1" collapsed="1">
      <c r="A123" s="268" t="s">
        <v>385</v>
      </c>
      <c r="B123" s="268"/>
      <c r="C123" s="268"/>
      <c r="D123" s="268"/>
      <c r="E123" s="268"/>
      <c r="F123" s="268"/>
      <c r="G123" s="268"/>
    </row>
    <row r="124" spans="1:7" s="3" customFormat="1" ht="26.1" hidden="1" outlineLevel="1">
      <c r="A124" s="269" t="s">
        <v>103</v>
      </c>
      <c r="B124" s="104" t="s">
        <v>104</v>
      </c>
      <c r="C124" s="187" t="s">
        <v>300</v>
      </c>
      <c r="D124" s="178" t="s">
        <v>136</v>
      </c>
      <c r="E124" s="188" t="s">
        <v>301</v>
      </c>
      <c r="F124" s="187" t="s">
        <v>108</v>
      </c>
      <c r="G124" s="187" t="s">
        <v>109</v>
      </c>
    </row>
    <row r="125" spans="1:7" s="3" customFormat="1" hidden="1" outlineLevel="1">
      <c r="A125" s="269"/>
      <c r="B125" s="103" t="s">
        <v>386</v>
      </c>
      <c r="C125" s="186"/>
      <c r="D125" s="27"/>
      <c r="E125" s="99"/>
      <c r="F125" s="95">
        <f>D125*E125</f>
        <v>0</v>
      </c>
      <c r="G125" s="270"/>
    </row>
    <row r="126" spans="1:7" s="3" customFormat="1" hidden="1" outlineLevel="1">
      <c r="A126" s="269"/>
      <c r="B126" s="103" t="s">
        <v>387</v>
      </c>
      <c r="C126" s="186"/>
      <c r="D126" s="27"/>
      <c r="E126" s="99"/>
      <c r="F126" s="95">
        <f>D126*E126</f>
        <v>0</v>
      </c>
      <c r="G126" s="270"/>
    </row>
    <row r="127" spans="1:7" s="3" customFormat="1" hidden="1" outlineLevel="1">
      <c r="A127" s="269"/>
      <c r="B127" s="103" t="s">
        <v>304</v>
      </c>
      <c r="C127" s="27"/>
      <c r="D127" s="27"/>
      <c r="E127" s="27"/>
      <c r="F127" s="95">
        <f>D127*E127</f>
        <v>0</v>
      </c>
      <c r="G127" s="270"/>
    </row>
    <row r="128" spans="1:7" s="3" customFormat="1" hidden="1" outlineLevel="1">
      <c r="A128" s="269"/>
      <c r="B128" s="278" t="s">
        <v>305</v>
      </c>
      <c r="C128" s="278"/>
      <c r="D128" s="278"/>
      <c r="E128" s="278"/>
      <c r="F128" s="278"/>
      <c r="G128" s="270"/>
    </row>
    <row r="129" spans="1:7" s="3" customFormat="1">
      <c r="A129" s="269"/>
      <c r="B129" s="271" t="s">
        <v>388</v>
      </c>
      <c r="C129" s="271"/>
      <c r="D129" s="271"/>
      <c r="E129" s="271"/>
      <c r="F129" s="271"/>
      <c r="G129" s="96">
        <f>SUM(F125:F127)</f>
        <v>0</v>
      </c>
    </row>
    <row r="130" spans="1:7" s="4" customFormat="1" collapsed="1">
      <c r="A130" s="268" t="s">
        <v>389</v>
      </c>
      <c r="B130" s="268"/>
      <c r="C130" s="268"/>
      <c r="D130" s="268"/>
      <c r="E130" s="268"/>
      <c r="F130" s="268"/>
      <c r="G130" s="268"/>
    </row>
    <row r="131" spans="1:7" s="3" customFormat="1" ht="26.1" hidden="1" outlineLevel="1">
      <c r="A131" s="269" t="s">
        <v>103</v>
      </c>
      <c r="B131" s="104" t="s">
        <v>104</v>
      </c>
      <c r="C131" s="187" t="s">
        <v>300</v>
      </c>
      <c r="D131" s="178" t="s">
        <v>136</v>
      </c>
      <c r="E131" s="188" t="s">
        <v>301</v>
      </c>
      <c r="F131" s="187" t="s">
        <v>108</v>
      </c>
      <c r="G131" s="187" t="s">
        <v>109</v>
      </c>
    </row>
    <row r="132" spans="1:7" s="3" customFormat="1" hidden="1" outlineLevel="1">
      <c r="A132" s="269"/>
      <c r="B132" s="103" t="s">
        <v>390</v>
      </c>
      <c r="C132" s="186"/>
      <c r="D132" s="27"/>
      <c r="E132" s="99"/>
      <c r="F132" s="95">
        <f>D132*E132</f>
        <v>0</v>
      </c>
      <c r="G132" s="272"/>
    </row>
    <row r="133" spans="1:7" s="3" customFormat="1" hidden="1" outlineLevel="1">
      <c r="A133" s="269"/>
      <c r="B133" s="103" t="s">
        <v>391</v>
      </c>
      <c r="C133" s="186"/>
      <c r="D133" s="27"/>
      <c r="E133" s="99"/>
      <c r="F133" s="95">
        <f>D133*E133</f>
        <v>0</v>
      </c>
      <c r="G133" s="272"/>
    </row>
    <row r="134" spans="1:7" s="3" customFormat="1" hidden="1" outlineLevel="1">
      <c r="A134" s="269"/>
      <c r="B134" s="103" t="s">
        <v>304</v>
      </c>
      <c r="C134" s="27"/>
      <c r="D134" s="27"/>
      <c r="E134" s="27"/>
      <c r="F134" s="95">
        <f>D134*E134</f>
        <v>0</v>
      </c>
      <c r="G134" s="272"/>
    </row>
    <row r="135" spans="1:7" s="3" customFormat="1">
      <c r="A135" s="269"/>
      <c r="B135" s="271" t="s">
        <v>392</v>
      </c>
      <c r="C135" s="271"/>
      <c r="D135" s="271"/>
      <c r="E135" s="271"/>
      <c r="F135" s="271"/>
      <c r="G135" s="96">
        <f>SUM(F132:F134)</f>
        <v>0</v>
      </c>
    </row>
    <row r="136" spans="1:7" s="92" customFormat="1" ht="14.45">
      <c r="A136" s="267" t="s">
        <v>393</v>
      </c>
      <c r="B136" s="267"/>
      <c r="C136" s="267"/>
      <c r="D136" s="267"/>
      <c r="E136" s="267"/>
      <c r="F136" s="267"/>
      <c r="G136" s="97">
        <f>G135+G129+G122+G116+G110+G102+G94+G89+G82+G76+G69+G64+G53+G46+G28+G13+G8</f>
        <v>0</v>
      </c>
    </row>
  </sheetData>
  <sheetProtection algorithmName="SHA-512" hashValue="DzbqpfGKFzSV0uLZL/qbYdjhmiWnslFiR2Woty214Z+I1LynxJNvnfPQlNb1qI3F6onkDFLGlGBjn6Ki025viA==" saltValue="2UnSs0zUq0wPkX9uj/WZdA==" spinCount="100000" sheet="1" formatCells="0" formatColumns="0" formatRows="0"/>
  <mergeCells count="76">
    <mergeCell ref="B135:F135"/>
    <mergeCell ref="A131:A135"/>
    <mergeCell ref="G132:G134"/>
    <mergeCell ref="G125:G128"/>
    <mergeCell ref="B128:F128"/>
    <mergeCell ref="B129:F129"/>
    <mergeCell ref="A130:G130"/>
    <mergeCell ref="A124:A129"/>
    <mergeCell ref="B116:F116"/>
    <mergeCell ref="B110:F110"/>
    <mergeCell ref="A104:A110"/>
    <mergeCell ref="A112:A116"/>
    <mergeCell ref="A123:G123"/>
    <mergeCell ref="G119:G121"/>
    <mergeCell ref="A118:A122"/>
    <mergeCell ref="A117:G117"/>
    <mergeCell ref="B122:F122"/>
    <mergeCell ref="A96:A102"/>
    <mergeCell ref="B102:F102"/>
    <mergeCell ref="G97:G101"/>
    <mergeCell ref="G105:G109"/>
    <mergeCell ref="G113:G115"/>
    <mergeCell ref="G79:G81"/>
    <mergeCell ref="B82:F82"/>
    <mergeCell ref="A84:A89"/>
    <mergeCell ref="G92:G93"/>
    <mergeCell ref="G85:G88"/>
    <mergeCell ref="B88:F88"/>
    <mergeCell ref="B89:F89"/>
    <mergeCell ref="A91:A94"/>
    <mergeCell ref="B94:F94"/>
    <mergeCell ref="A66:A69"/>
    <mergeCell ref="B75:F75"/>
    <mergeCell ref="B76:F76"/>
    <mergeCell ref="G67:G68"/>
    <mergeCell ref="B69:F69"/>
    <mergeCell ref="G72:G75"/>
    <mergeCell ref="A55:A64"/>
    <mergeCell ref="A1:G1"/>
    <mergeCell ref="A2:G2"/>
    <mergeCell ref="A3:A8"/>
    <mergeCell ref="B7:F7"/>
    <mergeCell ref="G4:G7"/>
    <mergeCell ref="B8:F8"/>
    <mergeCell ref="G56:G63"/>
    <mergeCell ref="G49:G52"/>
    <mergeCell ref="B63:F63"/>
    <mergeCell ref="B64:F64"/>
    <mergeCell ref="B52:F52"/>
    <mergeCell ref="B53:F53"/>
    <mergeCell ref="B46:F46"/>
    <mergeCell ref="A10:A13"/>
    <mergeCell ref="A15:A28"/>
    <mergeCell ref="A30:A46"/>
    <mergeCell ref="A48:A53"/>
    <mergeCell ref="G11:G12"/>
    <mergeCell ref="B13:F13"/>
    <mergeCell ref="G16:G27"/>
    <mergeCell ref="B28:F28"/>
    <mergeCell ref="G31:G45"/>
    <mergeCell ref="A136:F136"/>
    <mergeCell ref="A9:G9"/>
    <mergeCell ref="A14:G14"/>
    <mergeCell ref="A29:G29"/>
    <mergeCell ref="A47:G47"/>
    <mergeCell ref="A54:G54"/>
    <mergeCell ref="A65:G65"/>
    <mergeCell ref="A70:G70"/>
    <mergeCell ref="A77:G77"/>
    <mergeCell ref="A83:G83"/>
    <mergeCell ref="A90:G90"/>
    <mergeCell ref="A95:G95"/>
    <mergeCell ref="A103:G103"/>
    <mergeCell ref="A111:G111"/>
    <mergeCell ref="A71:A76"/>
    <mergeCell ref="A78:A82"/>
  </mergeCells>
  <dataValidations count="1">
    <dataValidation type="textLength" operator="lessThan" allowBlank="1" showInputMessage="1" showErrorMessage="1" promptTitle="Cell will autopopulate" prompt="Do not edit text in this cell" sqref="G8 G13 G28 G46 G53 G64 G69 G76 G82 G89 G94 G102 G110 G116 G122 G129 G135:G136 G4 F11:G12 F16:G27 F31:G45 F49:G51 F56:G62 F67:G68 F72:G74 F79:G81 F85:G87 F92:G93 F97:G101 F105:G109 F113:G115 F119:G121 F125:G127 F4:F6 F132:F134 G132" xr:uid="{B4B6FCBB-5D64-47D4-8B74-F024EC495B10}">
      <formula1>0</formula1>
    </dataValidation>
  </dataValidations>
  <pageMargins left="0.7" right="0.7" top="0.75" bottom="0.75"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58F71-B9BD-45A5-B214-D8C7479C80F8}">
  <sheetPr codeName="Sheet6">
    <outlinePr summaryBelow="0"/>
  </sheetPr>
  <dimension ref="A1:S146"/>
  <sheetViews>
    <sheetView workbookViewId="0">
      <selection activeCell="A139" sqref="A139"/>
    </sheetView>
  </sheetViews>
  <sheetFormatPr defaultRowHeight="12.95" outlineLevelRow="2"/>
  <cols>
    <col min="1" max="1" width="2" style="34" customWidth="1"/>
    <col min="2" max="2" width="1.1640625" style="34" customWidth="1"/>
    <col min="3" max="3" width="10.33203125" style="34" customWidth="1"/>
    <col min="4" max="4" width="2.1640625" style="34" customWidth="1"/>
    <col min="5" max="5" width="3.33203125" style="34" customWidth="1"/>
    <col min="6" max="6" width="4.83203125" style="34" customWidth="1"/>
    <col min="7" max="7" width="12.83203125" style="34" customWidth="1"/>
    <col min="8" max="8" width="29.6640625" style="34" customWidth="1"/>
    <col min="9" max="9" width="9.6640625" style="34" customWidth="1"/>
    <col min="10" max="10" width="15.5" style="34" customWidth="1"/>
    <col min="11" max="11" width="3.83203125" style="34" customWidth="1"/>
    <col min="12" max="12" width="17.83203125" style="34" customWidth="1"/>
    <col min="13" max="13" width="18" style="34" customWidth="1"/>
  </cols>
  <sheetData>
    <row r="1" spans="1:13" ht="18.600000000000001">
      <c r="A1" s="342" t="s">
        <v>394</v>
      </c>
      <c r="B1" s="343"/>
      <c r="C1" s="343"/>
      <c r="D1" s="343"/>
      <c r="E1" s="343"/>
      <c r="F1" s="343"/>
      <c r="G1" s="343"/>
      <c r="H1" s="343"/>
      <c r="I1" s="343"/>
      <c r="J1" s="343"/>
      <c r="K1" s="343"/>
      <c r="L1" s="343"/>
      <c r="M1" s="344"/>
    </row>
    <row r="2" spans="1:13">
      <c r="A2" s="345" t="s">
        <v>395</v>
      </c>
      <c r="B2" s="346"/>
      <c r="C2" s="346"/>
      <c r="D2" s="346"/>
      <c r="E2" s="346"/>
      <c r="F2" s="346"/>
      <c r="G2" s="347" t="str">
        <f>IF('11.17'!D2="","",'11.17'!D2)</f>
        <v>Program:</v>
      </c>
      <c r="H2" s="347"/>
      <c r="I2" s="348" t="s">
        <v>396</v>
      </c>
      <c r="J2" s="348"/>
      <c r="K2" s="349"/>
      <c r="L2" s="350" t="s">
        <v>397</v>
      </c>
      <c r="M2" s="351"/>
    </row>
    <row r="3" spans="1:13">
      <c r="A3" s="300" t="s">
        <v>97</v>
      </c>
      <c r="B3" s="301"/>
      <c r="C3" s="301"/>
      <c r="D3" s="301"/>
      <c r="E3" s="301"/>
      <c r="F3" s="302"/>
      <c r="G3" s="303" t="str">
        <f>IF('11.17'!C6="","",'11.17'!C6)</f>
        <v/>
      </c>
      <c r="H3" s="303"/>
      <c r="I3" s="301" t="s">
        <v>99</v>
      </c>
      <c r="J3" s="301"/>
      <c r="K3" s="302"/>
      <c r="L3" s="352" t="str">
        <f>IF('11.17'!C7="","",'11.17'!C7)</f>
        <v/>
      </c>
      <c r="M3" s="353"/>
    </row>
    <row r="4" spans="1:13">
      <c r="A4" s="300" t="s">
        <v>398</v>
      </c>
      <c r="B4" s="301"/>
      <c r="C4" s="301"/>
      <c r="D4" s="301"/>
      <c r="E4" s="301"/>
      <c r="F4" s="302"/>
      <c r="G4" s="303" t="str">
        <f>IF('11.17'!G6="SELECT FROM DROP DOWN","",'11.17'!G6)</f>
        <v/>
      </c>
      <c r="H4" s="303"/>
      <c r="I4" s="301" t="s">
        <v>100</v>
      </c>
      <c r="J4" s="301"/>
      <c r="K4" s="302"/>
      <c r="L4" s="303" t="str">
        <f>IF('11.17'!G7="","",'11.17'!G7)</f>
        <v/>
      </c>
      <c r="M4" s="304"/>
    </row>
    <row r="5" spans="1:13" ht="27" customHeight="1">
      <c r="A5" s="337" t="s">
        <v>96</v>
      </c>
      <c r="B5" s="338"/>
      <c r="C5" s="338"/>
      <c r="D5" s="338"/>
      <c r="E5" s="338"/>
      <c r="F5" s="339"/>
      <c r="G5" s="340" t="str">
        <f>IF('11.17'!G7="SELECT FROM DROP DOWN","",'11.17'!G7)</f>
        <v/>
      </c>
      <c r="H5" s="340"/>
      <c r="I5" s="338" t="s">
        <v>399</v>
      </c>
      <c r="J5" s="338"/>
      <c r="K5" s="339"/>
      <c r="L5" s="340" t="str">
        <f>IF('11.17'!G8="","",'11.17'!G8)</f>
        <v/>
      </c>
      <c r="M5" s="341"/>
    </row>
    <row r="6" spans="1:13">
      <c r="A6" s="300" t="s">
        <v>88</v>
      </c>
      <c r="B6" s="301"/>
      <c r="C6" s="301"/>
      <c r="D6" s="301"/>
      <c r="E6" s="301"/>
      <c r="F6" s="302"/>
      <c r="G6" s="303" t="str">
        <f>IF('11.17'!C2="","",'11.17'!C2)</f>
        <v/>
      </c>
      <c r="H6" s="303"/>
      <c r="I6" s="301" t="s">
        <v>92</v>
      </c>
      <c r="J6" s="301"/>
      <c r="K6" s="302"/>
      <c r="L6" s="303" t="str">
        <f>IF('11.17'!C4="","",'11.17'!C4)</f>
        <v/>
      </c>
      <c r="M6" s="304"/>
    </row>
    <row r="7" spans="1:13" ht="28.5" customHeight="1" thickBot="1">
      <c r="A7" s="305" t="s">
        <v>400</v>
      </c>
      <c r="B7" s="306"/>
      <c r="C7" s="306"/>
      <c r="D7" s="306"/>
      <c r="E7" s="306"/>
      <c r="F7" s="306"/>
      <c r="G7" s="307">
        <f>'11.17'!H144</f>
        <v>0</v>
      </c>
      <c r="H7" s="307"/>
      <c r="I7" s="308" t="s">
        <v>401</v>
      </c>
      <c r="J7" s="309"/>
      <c r="K7" s="309"/>
      <c r="L7" s="310"/>
      <c r="M7" s="311"/>
    </row>
    <row r="8" spans="1:13" ht="15" collapsed="1" thickBot="1">
      <c r="A8" s="330" t="s">
        <v>402</v>
      </c>
      <c r="B8" s="331"/>
      <c r="C8" s="331"/>
      <c r="D8" s="331"/>
      <c r="E8" s="331"/>
      <c r="F8" s="331"/>
      <c r="G8" s="331"/>
      <c r="H8" s="331"/>
      <c r="I8" s="331"/>
      <c r="J8" s="331"/>
      <c r="K8" s="331"/>
      <c r="L8" s="331"/>
      <c r="M8" s="332"/>
    </row>
    <row r="9" spans="1:13" ht="28.5" hidden="1" customHeight="1" outlineLevel="1">
      <c r="A9" s="333" t="s">
        <v>403</v>
      </c>
      <c r="B9" s="334"/>
      <c r="C9" s="334"/>
      <c r="D9" s="334"/>
      <c r="E9" s="334"/>
      <c r="F9" s="334"/>
      <c r="G9" s="335"/>
      <c r="H9" s="335"/>
      <c r="I9" s="334" t="s">
        <v>404</v>
      </c>
      <c r="J9" s="334"/>
      <c r="K9" s="334"/>
      <c r="L9" s="335"/>
      <c r="M9" s="336"/>
    </row>
    <row r="10" spans="1:13" ht="26.25" hidden="1" customHeight="1" outlineLevel="1">
      <c r="A10" s="312" t="s">
        <v>405</v>
      </c>
      <c r="B10" s="313"/>
      <c r="C10" s="313"/>
      <c r="D10" s="313"/>
      <c r="E10" s="313"/>
      <c r="F10" s="314"/>
      <c r="G10" s="315"/>
      <c r="H10" s="315"/>
      <c r="I10" s="316" t="s">
        <v>406</v>
      </c>
      <c r="J10" s="316"/>
      <c r="K10" s="316"/>
      <c r="L10" s="315"/>
      <c r="M10" s="317"/>
    </row>
    <row r="11" spans="1:13" ht="17.25" hidden="1" customHeight="1" outlineLevel="1">
      <c r="A11" s="318" t="s">
        <v>407</v>
      </c>
      <c r="B11" s="316"/>
      <c r="C11" s="316"/>
      <c r="D11" s="316"/>
      <c r="E11" s="316"/>
      <c r="F11" s="316"/>
      <c r="G11" s="316"/>
      <c r="H11" s="316"/>
      <c r="I11" s="316"/>
      <c r="J11" s="316"/>
      <c r="K11" s="316"/>
      <c r="L11" s="316"/>
      <c r="M11" s="319"/>
    </row>
    <row r="12" spans="1:13" ht="42" hidden="1" customHeight="1" outlineLevel="1" thickBot="1">
      <c r="A12" s="320"/>
      <c r="B12" s="321"/>
      <c r="C12" s="321"/>
      <c r="D12" s="321"/>
      <c r="E12" s="321"/>
      <c r="F12" s="321"/>
      <c r="G12" s="321"/>
      <c r="H12" s="321"/>
      <c r="I12" s="321"/>
      <c r="J12" s="321"/>
      <c r="K12" s="321"/>
      <c r="L12" s="321"/>
      <c r="M12" s="322"/>
    </row>
    <row r="13" spans="1:13" ht="15" collapsed="1" thickBot="1">
      <c r="A13" s="323" t="s">
        <v>408</v>
      </c>
      <c r="B13" s="324"/>
      <c r="C13" s="324"/>
      <c r="D13" s="324"/>
      <c r="E13" s="324"/>
      <c r="F13" s="324"/>
      <c r="G13" s="324"/>
      <c r="H13" s="324"/>
      <c r="I13" s="324"/>
      <c r="J13" s="324"/>
      <c r="K13" s="324"/>
      <c r="L13" s="324"/>
      <c r="M13" s="325"/>
    </row>
    <row r="14" spans="1:13" hidden="1" outlineLevel="1" collapsed="1">
      <c r="A14" s="326" t="s">
        <v>409</v>
      </c>
      <c r="B14" s="326"/>
      <c r="C14" s="326"/>
      <c r="D14" s="326"/>
      <c r="E14" s="326"/>
      <c r="F14" s="326"/>
      <c r="G14" s="326"/>
      <c r="H14" s="326"/>
      <c r="I14" s="326"/>
      <c r="J14" s="326"/>
      <c r="K14" s="326"/>
      <c r="L14" s="326"/>
      <c r="M14" s="326"/>
    </row>
    <row r="15" spans="1:13" hidden="1" outlineLevel="2">
      <c r="A15" s="285" t="s">
        <v>103</v>
      </c>
      <c r="B15" s="286"/>
      <c r="C15" s="284" t="s">
        <v>410</v>
      </c>
      <c r="D15" s="284"/>
      <c r="E15" s="284"/>
      <c r="F15" s="284"/>
      <c r="G15" s="284"/>
      <c r="H15" s="284"/>
      <c r="I15" s="284"/>
      <c r="J15" s="284"/>
      <c r="K15" s="284"/>
      <c r="L15" s="284"/>
      <c r="M15" s="108">
        <f>'11.17'!H13</f>
        <v>0</v>
      </c>
    </row>
    <row r="16" spans="1:13" ht="39" hidden="1" outlineLevel="2">
      <c r="A16" s="287"/>
      <c r="B16" s="288"/>
      <c r="C16" s="327" t="s">
        <v>411</v>
      </c>
      <c r="D16" s="328"/>
      <c r="E16" s="329"/>
      <c r="F16" s="327" t="s">
        <v>412</v>
      </c>
      <c r="G16" s="329"/>
      <c r="H16" s="191" t="s">
        <v>413</v>
      </c>
      <c r="I16" s="327" t="s">
        <v>414</v>
      </c>
      <c r="J16" s="328"/>
      <c r="K16" s="329"/>
      <c r="L16" s="191" t="s">
        <v>415</v>
      </c>
      <c r="M16" s="191" t="s">
        <v>109</v>
      </c>
    </row>
    <row r="17" spans="1:13" hidden="1" outlineLevel="2">
      <c r="A17" s="287"/>
      <c r="B17" s="288"/>
      <c r="C17" s="362">
        <f>'11.17'!H13</f>
        <v>0</v>
      </c>
      <c r="D17" s="363"/>
      <c r="E17" s="364"/>
      <c r="F17" s="365"/>
      <c r="G17" s="366"/>
      <c r="H17" s="111"/>
      <c r="I17" s="357"/>
      <c r="J17" s="358"/>
      <c r="K17" s="359"/>
      <c r="L17" s="107">
        <f>IF(F17="",0,F17-C17)</f>
        <v>0</v>
      </c>
      <c r="M17" s="193"/>
    </row>
    <row r="18" spans="1:13" hidden="1" outlineLevel="1" collapsed="1">
      <c r="A18" s="289"/>
      <c r="B18" s="290"/>
      <c r="C18" s="284" t="s">
        <v>416</v>
      </c>
      <c r="D18" s="284"/>
      <c r="E18" s="284"/>
      <c r="F18" s="284"/>
      <c r="G18" s="284"/>
      <c r="H18" s="284"/>
      <c r="I18" s="284"/>
      <c r="J18" s="284"/>
      <c r="K18" s="284"/>
      <c r="L18" s="284"/>
      <c r="M18" s="108">
        <f>L17</f>
        <v>0</v>
      </c>
    </row>
    <row r="19" spans="1:13" hidden="1" outlineLevel="1">
      <c r="A19" s="360"/>
      <c r="B19" s="360"/>
      <c r="C19" s="284" t="s">
        <v>417</v>
      </c>
      <c r="D19" s="284"/>
      <c r="E19" s="284"/>
      <c r="F19" s="284"/>
      <c r="G19" s="284"/>
      <c r="H19" s="284"/>
      <c r="I19" s="284"/>
      <c r="J19" s="284"/>
      <c r="K19" s="284"/>
      <c r="L19" s="284"/>
      <c r="M19" s="108">
        <f>M15+M18</f>
        <v>0</v>
      </c>
    </row>
    <row r="20" spans="1:13" hidden="1" outlineLevel="1" collapsed="1">
      <c r="A20" s="361" t="s">
        <v>418</v>
      </c>
      <c r="B20" s="361"/>
      <c r="C20" s="361"/>
      <c r="D20" s="361"/>
      <c r="E20" s="361"/>
      <c r="F20" s="361"/>
      <c r="G20" s="361"/>
      <c r="H20" s="361"/>
      <c r="I20" s="361"/>
      <c r="J20" s="361"/>
      <c r="K20" s="361"/>
      <c r="L20" s="361"/>
      <c r="M20" s="361"/>
    </row>
    <row r="21" spans="1:13" hidden="1" outlineLevel="2">
      <c r="A21" s="285" t="s">
        <v>103</v>
      </c>
      <c r="B21" s="286"/>
      <c r="C21" s="284" t="s">
        <v>419</v>
      </c>
      <c r="D21" s="284"/>
      <c r="E21" s="284"/>
      <c r="F21" s="284"/>
      <c r="G21" s="284"/>
      <c r="H21" s="284"/>
      <c r="I21" s="284"/>
      <c r="J21" s="284"/>
      <c r="K21" s="284"/>
      <c r="L21" s="284"/>
      <c r="M21" s="108">
        <f>'11.17'!H18</f>
        <v>0</v>
      </c>
    </row>
    <row r="22" spans="1:13" ht="39" hidden="1" outlineLevel="2">
      <c r="A22" s="287"/>
      <c r="B22" s="288"/>
      <c r="C22" s="296" t="s">
        <v>411</v>
      </c>
      <c r="D22" s="296"/>
      <c r="E22" s="296"/>
      <c r="F22" s="296" t="s">
        <v>412</v>
      </c>
      <c r="G22" s="296"/>
      <c r="H22" s="191" t="s">
        <v>413</v>
      </c>
      <c r="I22" s="296" t="s">
        <v>414</v>
      </c>
      <c r="J22" s="296"/>
      <c r="K22" s="296"/>
      <c r="L22" s="191" t="s">
        <v>415</v>
      </c>
      <c r="M22" s="191" t="s">
        <v>109</v>
      </c>
    </row>
    <row r="23" spans="1:13" hidden="1" outlineLevel="2">
      <c r="A23" s="287"/>
      <c r="B23" s="288"/>
      <c r="C23" s="354">
        <f>'11.17'!H18</f>
        <v>0</v>
      </c>
      <c r="D23" s="355"/>
      <c r="E23" s="355"/>
      <c r="F23" s="356"/>
      <c r="G23" s="356"/>
      <c r="H23" s="32"/>
      <c r="I23" s="356"/>
      <c r="J23" s="356"/>
      <c r="K23" s="356"/>
      <c r="L23" s="107">
        <f>IF(F23="",0,F23-C23)</f>
        <v>0</v>
      </c>
      <c r="M23" s="74"/>
    </row>
    <row r="24" spans="1:13" hidden="1" outlineLevel="1" collapsed="1">
      <c r="A24" s="289"/>
      <c r="B24" s="290"/>
      <c r="C24" s="284" t="s">
        <v>420</v>
      </c>
      <c r="D24" s="284"/>
      <c r="E24" s="284"/>
      <c r="F24" s="284"/>
      <c r="G24" s="284"/>
      <c r="H24" s="284"/>
      <c r="I24" s="284"/>
      <c r="J24" s="284"/>
      <c r="K24" s="284"/>
      <c r="L24" s="284"/>
      <c r="M24" s="108">
        <f>L23</f>
        <v>0</v>
      </c>
    </row>
    <row r="25" spans="1:13" hidden="1" outlineLevel="1">
      <c r="A25" s="360"/>
      <c r="B25" s="360"/>
      <c r="C25" s="284" t="s">
        <v>421</v>
      </c>
      <c r="D25" s="284"/>
      <c r="E25" s="284"/>
      <c r="F25" s="284"/>
      <c r="G25" s="284"/>
      <c r="H25" s="284"/>
      <c r="I25" s="284"/>
      <c r="J25" s="284"/>
      <c r="K25" s="284"/>
      <c r="L25" s="284"/>
      <c r="M25" s="108">
        <f>M21+M24</f>
        <v>0</v>
      </c>
    </row>
    <row r="26" spans="1:13" hidden="1" outlineLevel="1" collapsed="1">
      <c r="A26" s="295" t="s">
        <v>118</v>
      </c>
      <c r="B26" s="295"/>
      <c r="C26" s="295"/>
      <c r="D26" s="295"/>
      <c r="E26" s="295"/>
      <c r="F26" s="295"/>
      <c r="G26" s="295"/>
      <c r="H26" s="295"/>
      <c r="I26" s="295"/>
      <c r="J26" s="295"/>
      <c r="K26" s="295"/>
      <c r="L26" s="295"/>
      <c r="M26" s="295"/>
    </row>
    <row r="27" spans="1:13" hidden="1" outlineLevel="2">
      <c r="A27" s="367" t="s">
        <v>119</v>
      </c>
      <c r="B27" s="368"/>
      <c r="C27" s="284" t="s">
        <v>422</v>
      </c>
      <c r="D27" s="284"/>
      <c r="E27" s="284"/>
      <c r="F27" s="284"/>
      <c r="G27" s="284"/>
      <c r="H27" s="284"/>
      <c r="I27" s="284"/>
      <c r="J27" s="284"/>
      <c r="K27" s="284"/>
      <c r="L27" s="284"/>
      <c r="M27" s="108">
        <f>'11.17'!H43</f>
        <v>0</v>
      </c>
    </row>
    <row r="28" spans="1:13" ht="39" hidden="1" outlineLevel="2">
      <c r="A28" s="369"/>
      <c r="B28" s="370"/>
      <c r="C28" s="296" t="s">
        <v>423</v>
      </c>
      <c r="D28" s="296"/>
      <c r="E28" s="296"/>
      <c r="F28" s="296" t="s">
        <v>412</v>
      </c>
      <c r="G28" s="296"/>
      <c r="H28" s="191" t="s">
        <v>424</v>
      </c>
      <c r="I28" s="278" t="s">
        <v>414</v>
      </c>
      <c r="J28" s="278"/>
      <c r="K28" s="278"/>
      <c r="L28" s="191" t="s">
        <v>415</v>
      </c>
      <c r="M28" s="84" t="s">
        <v>109</v>
      </c>
    </row>
    <row r="29" spans="1:13" hidden="1" outlineLevel="2">
      <c r="A29" s="369"/>
      <c r="B29" s="370"/>
      <c r="C29" s="281"/>
      <c r="D29" s="281"/>
      <c r="E29" s="281"/>
      <c r="F29" s="281"/>
      <c r="G29" s="281"/>
      <c r="H29" s="189"/>
      <c r="I29" s="282"/>
      <c r="J29" s="282"/>
      <c r="K29" s="282"/>
      <c r="L29" s="107">
        <f t="shared" ref="L29:L34" si="0">F29-C29</f>
        <v>0</v>
      </c>
      <c r="M29" s="373"/>
    </row>
    <row r="30" spans="1:13" hidden="1" outlineLevel="2">
      <c r="A30" s="369"/>
      <c r="B30" s="370"/>
      <c r="C30" s="281"/>
      <c r="D30" s="281"/>
      <c r="E30" s="281"/>
      <c r="F30" s="281"/>
      <c r="G30" s="281"/>
      <c r="H30" s="189"/>
      <c r="I30" s="283"/>
      <c r="J30" s="283"/>
      <c r="K30" s="283"/>
      <c r="L30" s="107">
        <f t="shared" si="0"/>
        <v>0</v>
      </c>
      <c r="M30" s="374"/>
    </row>
    <row r="31" spans="1:13" hidden="1" outlineLevel="2">
      <c r="A31" s="369"/>
      <c r="B31" s="370"/>
      <c r="C31" s="281"/>
      <c r="D31" s="281"/>
      <c r="E31" s="281"/>
      <c r="F31" s="281"/>
      <c r="G31" s="281"/>
      <c r="H31" s="189"/>
      <c r="I31" s="282"/>
      <c r="J31" s="282"/>
      <c r="K31" s="282"/>
      <c r="L31" s="107">
        <f t="shared" si="0"/>
        <v>0</v>
      </c>
      <c r="M31" s="374"/>
    </row>
    <row r="32" spans="1:13" hidden="1" outlineLevel="2">
      <c r="A32" s="369"/>
      <c r="B32" s="370"/>
      <c r="C32" s="281"/>
      <c r="D32" s="281"/>
      <c r="E32" s="281"/>
      <c r="F32" s="281"/>
      <c r="G32" s="281"/>
      <c r="H32" s="189"/>
      <c r="I32" s="283"/>
      <c r="J32" s="283"/>
      <c r="K32" s="283"/>
      <c r="L32" s="107">
        <f t="shared" si="0"/>
        <v>0</v>
      </c>
      <c r="M32" s="374"/>
    </row>
    <row r="33" spans="1:13" hidden="1" outlineLevel="2">
      <c r="A33" s="369"/>
      <c r="B33" s="370"/>
      <c r="C33" s="281"/>
      <c r="D33" s="281"/>
      <c r="E33" s="281"/>
      <c r="F33" s="281"/>
      <c r="G33" s="281"/>
      <c r="H33" s="189"/>
      <c r="I33" s="282"/>
      <c r="J33" s="282"/>
      <c r="K33" s="282"/>
      <c r="L33" s="107">
        <f t="shared" si="0"/>
        <v>0</v>
      </c>
      <c r="M33" s="374"/>
    </row>
    <row r="34" spans="1:13" hidden="1" outlineLevel="2">
      <c r="A34" s="369"/>
      <c r="B34" s="370"/>
      <c r="C34" s="281"/>
      <c r="D34" s="281"/>
      <c r="E34" s="281"/>
      <c r="F34" s="281"/>
      <c r="G34" s="281"/>
      <c r="H34" s="189"/>
      <c r="I34" s="283"/>
      <c r="J34" s="283"/>
      <c r="K34" s="283"/>
      <c r="L34" s="107">
        <f t="shared" si="0"/>
        <v>0</v>
      </c>
      <c r="M34" s="374"/>
    </row>
    <row r="35" spans="1:13" hidden="1" outlineLevel="2">
      <c r="A35" s="369"/>
      <c r="B35" s="370"/>
      <c r="C35" s="376" t="s">
        <v>425</v>
      </c>
      <c r="D35" s="376"/>
      <c r="E35" s="376"/>
      <c r="F35" s="377"/>
      <c r="G35" s="377"/>
      <c r="H35" s="377"/>
      <c r="I35" s="377"/>
      <c r="J35" s="377"/>
      <c r="K35" s="377"/>
      <c r="L35" s="377"/>
      <c r="M35" s="375"/>
    </row>
    <row r="36" spans="1:13" hidden="1" outlineLevel="1" collapsed="1">
      <c r="A36" s="371"/>
      <c r="B36" s="372"/>
      <c r="C36" s="284" t="s">
        <v>426</v>
      </c>
      <c r="D36" s="284"/>
      <c r="E36" s="284"/>
      <c r="F36" s="284"/>
      <c r="G36" s="284"/>
      <c r="H36" s="284"/>
      <c r="I36" s="284"/>
      <c r="J36" s="284"/>
      <c r="K36" s="284"/>
      <c r="L36" s="284"/>
      <c r="M36" s="108">
        <f>SUM(L29:L34)</f>
        <v>0</v>
      </c>
    </row>
    <row r="37" spans="1:13" hidden="1" outlineLevel="1">
      <c r="A37" s="386"/>
      <c r="B37" s="386"/>
      <c r="C37" s="284" t="s">
        <v>427</v>
      </c>
      <c r="D37" s="284"/>
      <c r="E37" s="284"/>
      <c r="F37" s="284"/>
      <c r="G37" s="284"/>
      <c r="H37" s="284"/>
      <c r="I37" s="284"/>
      <c r="J37" s="284"/>
      <c r="K37" s="284"/>
      <c r="L37" s="284"/>
      <c r="M37" s="108">
        <f>M27+M36</f>
        <v>0</v>
      </c>
    </row>
    <row r="38" spans="1:13" hidden="1" outlineLevel="1" collapsed="1">
      <c r="A38" s="295" t="s">
        <v>127</v>
      </c>
      <c r="B38" s="295"/>
      <c r="C38" s="295"/>
      <c r="D38" s="295"/>
      <c r="E38" s="295"/>
      <c r="F38" s="295"/>
      <c r="G38" s="295"/>
      <c r="H38" s="295"/>
      <c r="I38" s="295"/>
      <c r="J38" s="295"/>
      <c r="K38" s="295"/>
      <c r="L38" s="295"/>
      <c r="M38" s="295"/>
    </row>
    <row r="39" spans="1:13" hidden="1" outlineLevel="2">
      <c r="A39" s="380" t="s">
        <v>103</v>
      </c>
      <c r="B39" s="381"/>
      <c r="C39" s="284" t="s">
        <v>428</v>
      </c>
      <c r="D39" s="284"/>
      <c r="E39" s="284"/>
      <c r="F39" s="284"/>
      <c r="G39" s="284"/>
      <c r="H39" s="284"/>
      <c r="I39" s="284"/>
      <c r="J39" s="284"/>
      <c r="K39" s="284"/>
      <c r="L39" s="284"/>
      <c r="M39" s="108">
        <f>'11.17'!H50</f>
        <v>0</v>
      </c>
    </row>
    <row r="40" spans="1:13" ht="39" hidden="1" outlineLevel="2">
      <c r="A40" s="382"/>
      <c r="B40" s="383"/>
      <c r="C40" s="296" t="s">
        <v>423</v>
      </c>
      <c r="D40" s="296"/>
      <c r="E40" s="296"/>
      <c r="F40" s="296" t="s">
        <v>412</v>
      </c>
      <c r="G40" s="296"/>
      <c r="H40" s="191" t="s">
        <v>413</v>
      </c>
      <c r="I40" s="296" t="s">
        <v>414</v>
      </c>
      <c r="J40" s="296"/>
      <c r="K40" s="296"/>
      <c r="L40" s="191" t="s">
        <v>415</v>
      </c>
      <c r="M40" s="84" t="s">
        <v>109</v>
      </c>
    </row>
    <row r="41" spans="1:13" hidden="1" outlineLevel="2">
      <c r="A41" s="382"/>
      <c r="B41" s="383"/>
      <c r="C41" s="297"/>
      <c r="D41" s="297"/>
      <c r="E41" s="297"/>
      <c r="F41" s="297"/>
      <c r="G41" s="297"/>
      <c r="H41" s="189"/>
      <c r="I41" s="378"/>
      <c r="J41" s="378"/>
      <c r="K41" s="378"/>
      <c r="L41" s="107">
        <f>F41-C41</f>
        <v>0</v>
      </c>
      <c r="M41" s="379"/>
    </row>
    <row r="42" spans="1:13" hidden="1" outlineLevel="2">
      <c r="A42" s="382"/>
      <c r="B42" s="383"/>
      <c r="C42" s="297"/>
      <c r="D42" s="297"/>
      <c r="E42" s="297"/>
      <c r="F42" s="297"/>
      <c r="G42" s="297"/>
      <c r="H42" s="189"/>
      <c r="I42" s="378"/>
      <c r="J42" s="378"/>
      <c r="K42" s="378"/>
      <c r="L42" s="107">
        <f>F42-C42</f>
        <v>0</v>
      </c>
      <c r="M42" s="379"/>
    </row>
    <row r="43" spans="1:13" hidden="1" outlineLevel="2">
      <c r="A43" s="382"/>
      <c r="B43" s="383"/>
      <c r="C43" s="297"/>
      <c r="D43" s="297"/>
      <c r="E43" s="297"/>
      <c r="F43" s="297"/>
      <c r="G43" s="297"/>
      <c r="H43" s="189"/>
      <c r="I43" s="283"/>
      <c r="J43" s="283"/>
      <c r="K43" s="283"/>
      <c r="L43" s="107">
        <f>F43-C43</f>
        <v>0</v>
      </c>
      <c r="M43" s="379"/>
    </row>
    <row r="44" spans="1:13" hidden="1" outlineLevel="2">
      <c r="A44" s="382"/>
      <c r="B44" s="383"/>
      <c r="C44" s="297"/>
      <c r="D44" s="297"/>
      <c r="E44" s="297"/>
      <c r="F44" s="297"/>
      <c r="G44" s="297"/>
      <c r="H44" s="189"/>
      <c r="I44" s="283"/>
      <c r="J44" s="283"/>
      <c r="K44" s="283"/>
      <c r="L44" s="107">
        <f>F44-C44</f>
        <v>0</v>
      </c>
      <c r="M44" s="379"/>
    </row>
    <row r="45" spans="1:13" hidden="1" outlineLevel="2">
      <c r="A45" s="382"/>
      <c r="B45" s="383"/>
      <c r="C45" s="376" t="s">
        <v>425</v>
      </c>
      <c r="D45" s="376"/>
      <c r="E45" s="376"/>
      <c r="F45" s="377"/>
      <c r="G45" s="377"/>
      <c r="H45" s="377"/>
      <c r="I45" s="377"/>
      <c r="J45" s="377"/>
      <c r="K45" s="377"/>
      <c r="L45" s="377"/>
      <c r="M45" s="379"/>
    </row>
    <row r="46" spans="1:13" hidden="1" outlineLevel="1" collapsed="1">
      <c r="A46" s="384"/>
      <c r="B46" s="385"/>
      <c r="C46" s="284" t="s">
        <v>429</v>
      </c>
      <c r="D46" s="284"/>
      <c r="E46" s="284"/>
      <c r="F46" s="284"/>
      <c r="G46" s="284"/>
      <c r="H46" s="284"/>
      <c r="I46" s="284"/>
      <c r="J46" s="284"/>
      <c r="K46" s="284"/>
      <c r="L46" s="284"/>
      <c r="M46" s="108">
        <f>SUM(L41:L44)</f>
        <v>0</v>
      </c>
    </row>
    <row r="47" spans="1:13" hidden="1" outlineLevel="1">
      <c r="A47" s="299"/>
      <c r="B47" s="299"/>
      <c r="C47" s="284" t="s">
        <v>430</v>
      </c>
      <c r="D47" s="284"/>
      <c r="E47" s="284"/>
      <c r="F47" s="284"/>
      <c r="G47" s="284"/>
      <c r="H47" s="284"/>
      <c r="I47" s="284"/>
      <c r="J47" s="284"/>
      <c r="K47" s="284"/>
      <c r="L47" s="284"/>
      <c r="M47" s="108">
        <f>M39+M46</f>
        <v>0</v>
      </c>
    </row>
    <row r="48" spans="1:13" hidden="1" outlineLevel="1" collapsed="1">
      <c r="A48" s="295" t="s">
        <v>134</v>
      </c>
      <c r="B48" s="295"/>
      <c r="C48" s="295"/>
      <c r="D48" s="295"/>
      <c r="E48" s="295"/>
      <c r="F48" s="295"/>
      <c r="G48" s="295"/>
      <c r="H48" s="295"/>
      <c r="I48" s="295"/>
      <c r="J48" s="295"/>
      <c r="K48" s="295"/>
      <c r="L48" s="295"/>
      <c r="M48" s="295"/>
    </row>
    <row r="49" spans="1:13" hidden="1" outlineLevel="2">
      <c r="A49" s="367" t="s">
        <v>135</v>
      </c>
      <c r="B49" s="368"/>
      <c r="C49" s="284" t="s">
        <v>431</v>
      </c>
      <c r="D49" s="284"/>
      <c r="E49" s="284"/>
      <c r="F49" s="284"/>
      <c r="G49" s="284"/>
      <c r="H49" s="284"/>
      <c r="I49" s="284"/>
      <c r="J49" s="284"/>
      <c r="K49" s="284"/>
      <c r="L49" s="284"/>
      <c r="M49" s="108">
        <f>'11.17'!H69</f>
        <v>0</v>
      </c>
    </row>
    <row r="50" spans="1:13" ht="39" hidden="1" outlineLevel="2">
      <c r="A50" s="369"/>
      <c r="B50" s="370"/>
      <c r="C50" s="296" t="s">
        <v>423</v>
      </c>
      <c r="D50" s="296"/>
      <c r="E50" s="296"/>
      <c r="F50" s="296" t="s">
        <v>412</v>
      </c>
      <c r="G50" s="296"/>
      <c r="H50" s="191" t="s">
        <v>424</v>
      </c>
      <c r="I50" s="296" t="s">
        <v>414</v>
      </c>
      <c r="J50" s="296"/>
      <c r="K50" s="296"/>
      <c r="L50" s="191" t="s">
        <v>415</v>
      </c>
      <c r="M50" s="84" t="s">
        <v>109</v>
      </c>
    </row>
    <row r="51" spans="1:13" hidden="1" outlineLevel="2">
      <c r="A51" s="369"/>
      <c r="B51" s="370"/>
      <c r="C51" s="297"/>
      <c r="D51" s="297"/>
      <c r="E51" s="297"/>
      <c r="F51" s="297"/>
      <c r="G51" s="297"/>
      <c r="H51" s="112"/>
      <c r="I51" s="387"/>
      <c r="J51" s="387"/>
      <c r="K51" s="387"/>
      <c r="L51" s="107">
        <f>F51-C51</f>
        <v>0</v>
      </c>
      <c r="M51" s="388"/>
    </row>
    <row r="52" spans="1:13" hidden="1" outlineLevel="2">
      <c r="A52" s="369"/>
      <c r="B52" s="370"/>
      <c r="C52" s="297"/>
      <c r="D52" s="297"/>
      <c r="E52" s="297"/>
      <c r="F52" s="297"/>
      <c r="G52" s="297"/>
      <c r="H52" s="112"/>
      <c r="I52" s="389"/>
      <c r="J52" s="389"/>
      <c r="K52" s="389"/>
      <c r="L52" s="107">
        <f>F52-C52</f>
        <v>0</v>
      </c>
      <c r="M52" s="388"/>
    </row>
    <row r="53" spans="1:13" hidden="1" outlineLevel="2">
      <c r="A53" s="369"/>
      <c r="B53" s="370"/>
      <c r="C53" s="297"/>
      <c r="D53" s="297"/>
      <c r="E53" s="297"/>
      <c r="F53" s="297"/>
      <c r="G53" s="297"/>
      <c r="H53" s="33"/>
      <c r="I53" s="387"/>
      <c r="J53" s="387"/>
      <c r="K53" s="387"/>
      <c r="L53" s="107">
        <f>F53-C53</f>
        <v>0</v>
      </c>
      <c r="M53" s="388"/>
    </row>
    <row r="54" spans="1:13" hidden="1" outlineLevel="2">
      <c r="A54" s="369"/>
      <c r="B54" s="370"/>
      <c r="C54" s="297"/>
      <c r="D54" s="297"/>
      <c r="E54" s="297"/>
      <c r="F54" s="297"/>
      <c r="G54" s="297"/>
      <c r="H54" s="33"/>
      <c r="I54" s="390"/>
      <c r="J54" s="390"/>
      <c r="K54" s="390"/>
      <c r="L54" s="107">
        <f>F54-C54</f>
        <v>0</v>
      </c>
      <c r="M54" s="388"/>
    </row>
    <row r="55" spans="1:13" hidden="1" outlineLevel="2">
      <c r="A55" s="369"/>
      <c r="B55" s="370"/>
      <c r="C55" s="376" t="s">
        <v>425</v>
      </c>
      <c r="D55" s="376"/>
      <c r="E55" s="376"/>
      <c r="F55" s="377"/>
      <c r="G55" s="377"/>
      <c r="H55" s="377"/>
      <c r="I55" s="377"/>
      <c r="J55" s="377"/>
      <c r="K55" s="377"/>
      <c r="L55" s="377"/>
      <c r="M55" s="388"/>
    </row>
    <row r="56" spans="1:13" hidden="1" outlineLevel="1" collapsed="1">
      <c r="A56" s="371"/>
      <c r="B56" s="372"/>
      <c r="C56" s="284" t="s">
        <v>432</v>
      </c>
      <c r="D56" s="284"/>
      <c r="E56" s="284"/>
      <c r="F56" s="284"/>
      <c r="G56" s="284"/>
      <c r="H56" s="284"/>
      <c r="I56" s="284"/>
      <c r="J56" s="284"/>
      <c r="K56" s="284"/>
      <c r="L56" s="284"/>
      <c r="M56" s="108">
        <f>SUM(L51:L54)</f>
        <v>0</v>
      </c>
    </row>
    <row r="57" spans="1:13" hidden="1" outlineLevel="1">
      <c r="A57" s="386"/>
      <c r="B57" s="386"/>
      <c r="C57" s="284" t="s">
        <v>433</v>
      </c>
      <c r="D57" s="284"/>
      <c r="E57" s="284"/>
      <c r="F57" s="284"/>
      <c r="G57" s="284"/>
      <c r="H57" s="284"/>
      <c r="I57" s="284"/>
      <c r="J57" s="284"/>
      <c r="K57" s="284"/>
      <c r="L57" s="284"/>
      <c r="M57" s="108">
        <f>M49+M56</f>
        <v>0</v>
      </c>
    </row>
    <row r="58" spans="1:13" hidden="1" outlineLevel="1" collapsed="1">
      <c r="A58" s="295" t="s">
        <v>139</v>
      </c>
      <c r="B58" s="295"/>
      <c r="C58" s="295"/>
      <c r="D58" s="295"/>
      <c r="E58" s="295"/>
      <c r="F58" s="295"/>
      <c r="G58" s="295"/>
      <c r="H58" s="295"/>
      <c r="I58" s="295"/>
      <c r="J58" s="295"/>
      <c r="K58" s="295"/>
      <c r="L58" s="295"/>
      <c r="M58" s="295"/>
    </row>
    <row r="59" spans="1:13" hidden="1" outlineLevel="2">
      <c r="A59" s="285" t="s">
        <v>103</v>
      </c>
      <c r="B59" s="286"/>
      <c r="C59" s="284" t="s">
        <v>434</v>
      </c>
      <c r="D59" s="284"/>
      <c r="E59" s="284"/>
      <c r="F59" s="284"/>
      <c r="G59" s="284"/>
      <c r="H59" s="284"/>
      <c r="I59" s="284"/>
      <c r="J59" s="284"/>
      <c r="K59" s="284"/>
      <c r="L59" s="284"/>
      <c r="M59" s="108">
        <f>'11.17'!H86</f>
        <v>0</v>
      </c>
    </row>
    <row r="60" spans="1:13" ht="39" hidden="1" outlineLevel="2">
      <c r="A60" s="287"/>
      <c r="B60" s="288"/>
      <c r="C60" s="296" t="s">
        <v>423</v>
      </c>
      <c r="D60" s="296"/>
      <c r="E60" s="296"/>
      <c r="F60" s="296" t="s">
        <v>412</v>
      </c>
      <c r="G60" s="296"/>
      <c r="H60" s="191" t="s">
        <v>424</v>
      </c>
      <c r="I60" s="296" t="s">
        <v>414</v>
      </c>
      <c r="J60" s="296"/>
      <c r="K60" s="296"/>
      <c r="L60" s="191" t="s">
        <v>415</v>
      </c>
      <c r="M60" s="84" t="s">
        <v>109</v>
      </c>
    </row>
    <row r="61" spans="1:13" hidden="1" outlineLevel="2">
      <c r="A61" s="287"/>
      <c r="B61" s="288"/>
      <c r="C61" s="297"/>
      <c r="D61" s="297"/>
      <c r="E61" s="297"/>
      <c r="F61" s="297"/>
      <c r="G61" s="297"/>
      <c r="H61" s="189"/>
      <c r="I61" s="294"/>
      <c r="J61" s="294"/>
      <c r="K61" s="294"/>
      <c r="L61" s="107">
        <f>F61-C61</f>
        <v>0</v>
      </c>
      <c r="M61" s="392"/>
    </row>
    <row r="62" spans="1:13" hidden="1" outlineLevel="2">
      <c r="A62" s="287"/>
      <c r="B62" s="288"/>
      <c r="C62" s="297"/>
      <c r="D62" s="297"/>
      <c r="E62" s="297"/>
      <c r="F62" s="297"/>
      <c r="G62" s="297"/>
      <c r="H62" s="189"/>
      <c r="I62" s="391"/>
      <c r="J62" s="391"/>
      <c r="K62" s="391"/>
      <c r="L62" s="107">
        <f>F62-C62</f>
        <v>0</v>
      </c>
      <c r="M62" s="392"/>
    </row>
    <row r="63" spans="1:13" hidden="1" outlineLevel="2">
      <c r="A63" s="287"/>
      <c r="B63" s="288"/>
      <c r="C63" s="297"/>
      <c r="D63" s="297"/>
      <c r="E63" s="297"/>
      <c r="F63" s="297"/>
      <c r="G63" s="297"/>
      <c r="H63" s="189"/>
      <c r="I63" s="391"/>
      <c r="J63" s="391"/>
      <c r="K63" s="391"/>
      <c r="L63" s="107">
        <f>F63-C63</f>
        <v>0</v>
      </c>
      <c r="M63" s="392"/>
    </row>
    <row r="64" spans="1:13" hidden="1" outlineLevel="2">
      <c r="A64" s="287"/>
      <c r="B64" s="288"/>
      <c r="C64" s="297"/>
      <c r="D64" s="297"/>
      <c r="E64" s="297"/>
      <c r="F64" s="297"/>
      <c r="G64" s="297"/>
      <c r="H64" s="189"/>
      <c r="I64" s="391"/>
      <c r="J64" s="391"/>
      <c r="K64" s="391"/>
      <c r="L64" s="107">
        <f>F64-C64</f>
        <v>0</v>
      </c>
      <c r="M64" s="392"/>
    </row>
    <row r="65" spans="1:13" hidden="1" outlineLevel="2">
      <c r="A65" s="287"/>
      <c r="B65" s="288"/>
      <c r="C65" s="297"/>
      <c r="D65" s="297"/>
      <c r="E65" s="297"/>
      <c r="F65" s="297"/>
      <c r="G65" s="297"/>
      <c r="H65" s="189"/>
      <c r="I65" s="294"/>
      <c r="J65" s="294"/>
      <c r="K65" s="294"/>
      <c r="L65" s="107">
        <f>F65-C65</f>
        <v>0</v>
      </c>
      <c r="M65" s="392"/>
    </row>
    <row r="66" spans="1:13" hidden="1" outlineLevel="2">
      <c r="A66" s="287"/>
      <c r="B66" s="288"/>
      <c r="C66" s="376" t="s">
        <v>425</v>
      </c>
      <c r="D66" s="376"/>
      <c r="E66" s="376"/>
      <c r="F66" s="377"/>
      <c r="G66" s="377"/>
      <c r="H66" s="377"/>
      <c r="I66" s="377"/>
      <c r="J66" s="377"/>
      <c r="K66" s="377"/>
      <c r="L66" s="377"/>
      <c r="M66" s="392"/>
    </row>
    <row r="67" spans="1:13" hidden="1" outlineLevel="1" collapsed="1">
      <c r="A67" s="289"/>
      <c r="B67" s="290"/>
      <c r="C67" s="284" t="s">
        <v>435</v>
      </c>
      <c r="D67" s="284"/>
      <c r="E67" s="284"/>
      <c r="F67" s="284"/>
      <c r="G67" s="284"/>
      <c r="H67" s="284"/>
      <c r="I67" s="284"/>
      <c r="J67" s="284"/>
      <c r="K67" s="284"/>
      <c r="L67" s="284"/>
      <c r="M67" s="108">
        <f>SUM(L61:L65)</f>
        <v>0</v>
      </c>
    </row>
    <row r="68" spans="1:13" hidden="1" outlineLevel="1">
      <c r="A68" s="293"/>
      <c r="B68" s="293"/>
      <c r="C68" s="284" t="s">
        <v>436</v>
      </c>
      <c r="D68" s="284"/>
      <c r="E68" s="284"/>
      <c r="F68" s="284"/>
      <c r="G68" s="284"/>
      <c r="H68" s="284"/>
      <c r="I68" s="284"/>
      <c r="J68" s="284"/>
      <c r="K68" s="284"/>
      <c r="L68" s="284"/>
      <c r="M68" s="108">
        <f>M59+M67</f>
        <v>0</v>
      </c>
    </row>
    <row r="69" spans="1:13" hidden="1" outlineLevel="1" collapsed="1">
      <c r="A69" s="295" t="s">
        <v>152</v>
      </c>
      <c r="B69" s="295"/>
      <c r="C69" s="295"/>
      <c r="D69" s="295"/>
      <c r="E69" s="295"/>
      <c r="F69" s="295"/>
      <c r="G69" s="295"/>
      <c r="H69" s="295"/>
      <c r="I69" s="295"/>
      <c r="J69" s="295"/>
      <c r="K69" s="295"/>
      <c r="L69" s="295"/>
      <c r="M69" s="295"/>
    </row>
    <row r="70" spans="1:13" hidden="1" outlineLevel="2">
      <c r="A70" s="285" t="s">
        <v>103</v>
      </c>
      <c r="B70" s="286"/>
      <c r="C70" s="284" t="s">
        <v>437</v>
      </c>
      <c r="D70" s="284"/>
      <c r="E70" s="284"/>
      <c r="F70" s="284"/>
      <c r="G70" s="284"/>
      <c r="H70" s="284"/>
      <c r="I70" s="284"/>
      <c r="J70" s="284"/>
      <c r="K70" s="284"/>
      <c r="L70" s="284"/>
      <c r="M70" s="108">
        <f>'11.17'!H92</f>
        <v>0</v>
      </c>
    </row>
    <row r="71" spans="1:13" ht="39" hidden="1" outlineLevel="2">
      <c r="A71" s="287"/>
      <c r="B71" s="288"/>
      <c r="C71" s="296" t="s">
        <v>423</v>
      </c>
      <c r="D71" s="296"/>
      <c r="E71" s="296"/>
      <c r="F71" s="296" t="s">
        <v>412</v>
      </c>
      <c r="G71" s="296"/>
      <c r="H71" s="191" t="s">
        <v>424</v>
      </c>
      <c r="I71" s="296" t="s">
        <v>414</v>
      </c>
      <c r="J71" s="296"/>
      <c r="K71" s="296"/>
      <c r="L71" s="191" t="s">
        <v>415</v>
      </c>
      <c r="M71" s="191" t="s">
        <v>109</v>
      </c>
    </row>
    <row r="72" spans="1:13" hidden="1" outlineLevel="2">
      <c r="A72" s="287"/>
      <c r="B72" s="288"/>
      <c r="C72" s="297"/>
      <c r="D72" s="297"/>
      <c r="E72" s="297"/>
      <c r="F72" s="297"/>
      <c r="G72" s="297"/>
      <c r="H72" s="189"/>
      <c r="I72" s="294"/>
      <c r="J72" s="294"/>
      <c r="K72" s="294"/>
      <c r="L72" s="107">
        <f>F72-C72</f>
        <v>0</v>
      </c>
      <c r="M72" s="298"/>
    </row>
    <row r="73" spans="1:13" hidden="1" outlineLevel="2">
      <c r="A73" s="287"/>
      <c r="B73" s="288"/>
      <c r="C73" s="297"/>
      <c r="D73" s="297"/>
      <c r="E73" s="297"/>
      <c r="F73" s="297"/>
      <c r="G73" s="297"/>
      <c r="H73" s="189"/>
      <c r="I73" s="294"/>
      <c r="J73" s="294"/>
      <c r="K73" s="294"/>
      <c r="L73" s="107">
        <f>F73-C73</f>
        <v>0</v>
      </c>
      <c r="M73" s="298"/>
    </row>
    <row r="74" spans="1:13" hidden="1" outlineLevel="2">
      <c r="A74" s="287"/>
      <c r="B74" s="288"/>
      <c r="C74" s="297"/>
      <c r="D74" s="297"/>
      <c r="E74" s="297"/>
      <c r="F74" s="297"/>
      <c r="G74" s="297"/>
      <c r="H74" s="189"/>
      <c r="I74" s="294"/>
      <c r="J74" s="294"/>
      <c r="K74" s="294"/>
      <c r="L74" s="107">
        <f>F74-C74</f>
        <v>0</v>
      </c>
      <c r="M74" s="298"/>
    </row>
    <row r="75" spans="1:13" hidden="1" outlineLevel="1" collapsed="1">
      <c r="A75" s="289"/>
      <c r="B75" s="290"/>
      <c r="C75" s="284" t="s">
        <v>438</v>
      </c>
      <c r="D75" s="284"/>
      <c r="E75" s="284"/>
      <c r="F75" s="284"/>
      <c r="G75" s="284"/>
      <c r="H75" s="284"/>
      <c r="I75" s="284"/>
      <c r="J75" s="284"/>
      <c r="K75" s="284"/>
      <c r="L75" s="284"/>
      <c r="M75" s="108">
        <f>SUM(L72:L74)</f>
        <v>0</v>
      </c>
    </row>
    <row r="76" spans="1:13" hidden="1" outlineLevel="1">
      <c r="A76" s="293"/>
      <c r="B76" s="293"/>
      <c r="C76" s="284" t="s">
        <v>439</v>
      </c>
      <c r="D76" s="284"/>
      <c r="E76" s="284"/>
      <c r="F76" s="284"/>
      <c r="G76" s="284"/>
      <c r="H76" s="284"/>
      <c r="I76" s="284"/>
      <c r="J76" s="284"/>
      <c r="K76" s="284"/>
      <c r="L76" s="284"/>
      <c r="M76" s="108">
        <f>M70+M75</f>
        <v>0</v>
      </c>
    </row>
    <row r="77" spans="1:13" hidden="1" outlineLevel="1" collapsed="1">
      <c r="A77" s="295" t="s">
        <v>440</v>
      </c>
      <c r="B77" s="295"/>
      <c r="C77" s="295"/>
      <c r="D77" s="295"/>
      <c r="E77" s="295"/>
      <c r="F77" s="295"/>
      <c r="G77" s="295"/>
      <c r="H77" s="295"/>
      <c r="I77" s="295"/>
      <c r="J77" s="295"/>
      <c r="K77" s="295"/>
      <c r="L77" s="295"/>
      <c r="M77" s="295"/>
    </row>
    <row r="78" spans="1:13" hidden="1" outlineLevel="2">
      <c r="A78" s="285" t="s">
        <v>103</v>
      </c>
      <c r="B78" s="286"/>
      <c r="C78" s="284" t="s">
        <v>441</v>
      </c>
      <c r="D78" s="284"/>
      <c r="E78" s="284"/>
      <c r="F78" s="284"/>
      <c r="G78" s="284"/>
      <c r="H78" s="284"/>
      <c r="I78" s="284"/>
      <c r="J78" s="284"/>
      <c r="K78" s="284"/>
      <c r="L78" s="284"/>
      <c r="M78" s="108">
        <f>'11.17'!H99</f>
        <v>0</v>
      </c>
    </row>
    <row r="79" spans="1:13" ht="39" hidden="1" outlineLevel="2">
      <c r="A79" s="287"/>
      <c r="B79" s="288"/>
      <c r="C79" s="296" t="s">
        <v>423</v>
      </c>
      <c r="D79" s="296"/>
      <c r="E79" s="296"/>
      <c r="F79" s="296" t="s">
        <v>412</v>
      </c>
      <c r="G79" s="296"/>
      <c r="H79" s="191" t="s">
        <v>424</v>
      </c>
      <c r="I79" s="296" t="s">
        <v>414</v>
      </c>
      <c r="J79" s="296"/>
      <c r="K79" s="296"/>
      <c r="L79" s="191" t="s">
        <v>415</v>
      </c>
      <c r="M79" s="191" t="s">
        <v>109</v>
      </c>
    </row>
    <row r="80" spans="1:13" hidden="1" outlineLevel="2">
      <c r="A80" s="287"/>
      <c r="B80" s="288"/>
      <c r="C80" s="356"/>
      <c r="D80" s="356"/>
      <c r="E80" s="356"/>
      <c r="F80" s="356"/>
      <c r="G80" s="356"/>
      <c r="H80" s="189"/>
      <c r="I80" s="391"/>
      <c r="J80" s="391"/>
      <c r="K80" s="391"/>
      <c r="L80" s="107">
        <f>F80-C80</f>
        <v>0</v>
      </c>
      <c r="M80" s="298"/>
    </row>
    <row r="81" spans="1:13" hidden="1" outlineLevel="2">
      <c r="A81" s="287"/>
      <c r="B81" s="288"/>
      <c r="C81" s="356"/>
      <c r="D81" s="356"/>
      <c r="E81" s="356"/>
      <c r="F81" s="356"/>
      <c r="G81" s="356"/>
      <c r="H81" s="189"/>
      <c r="I81" s="391"/>
      <c r="J81" s="391"/>
      <c r="K81" s="391"/>
      <c r="L81" s="107">
        <f>F81-C81</f>
        <v>0</v>
      </c>
      <c r="M81" s="298"/>
    </row>
    <row r="82" spans="1:13" hidden="1" outlineLevel="2">
      <c r="A82" s="287"/>
      <c r="B82" s="288"/>
      <c r="C82" s="356"/>
      <c r="D82" s="356"/>
      <c r="E82" s="356"/>
      <c r="F82" s="356"/>
      <c r="G82" s="356"/>
      <c r="H82" s="189"/>
      <c r="I82" s="294"/>
      <c r="J82" s="294"/>
      <c r="K82" s="294"/>
      <c r="L82" s="107">
        <f>F82-C82</f>
        <v>0</v>
      </c>
      <c r="M82" s="298"/>
    </row>
    <row r="83" spans="1:13" hidden="1" outlineLevel="1" collapsed="1">
      <c r="A83" s="289"/>
      <c r="B83" s="290"/>
      <c r="C83" s="284" t="s">
        <v>442</v>
      </c>
      <c r="D83" s="284"/>
      <c r="E83" s="284"/>
      <c r="F83" s="284"/>
      <c r="G83" s="284"/>
      <c r="H83" s="284"/>
      <c r="I83" s="284"/>
      <c r="J83" s="284"/>
      <c r="K83" s="284"/>
      <c r="L83" s="284"/>
      <c r="M83" s="108">
        <f>SUM(L80:L82)</f>
        <v>0</v>
      </c>
    </row>
    <row r="84" spans="1:13" hidden="1" outlineLevel="1">
      <c r="A84" s="291"/>
      <c r="B84" s="292"/>
      <c r="C84" s="284" t="s">
        <v>443</v>
      </c>
      <c r="D84" s="284"/>
      <c r="E84" s="284"/>
      <c r="F84" s="284"/>
      <c r="G84" s="284"/>
      <c r="H84" s="284"/>
      <c r="I84" s="284"/>
      <c r="J84" s="284"/>
      <c r="K84" s="284"/>
      <c r="L84" s="284"/>
      <c r="M84" s="108">
        <f>M78+M83</f>
        <v>0</v>
      </c>
    </row>
    <row r="85" spans="1:13" hidden="1" outlineLevel="1" collapsed="1">
      <c r="A85" s="295" t="s">
        <v>444</v>
      </c>
      <c r="B85" s="295"/>
      <c r="C85" s="295"/>
      <c r="D85" s="295"/>
      <c r="E85" s="295"/>
      <c r="F85" s="295"/>
      <c r="G85" s="295"/>
      <c r="H85" s="295"/>
      <c r="I85" s="295"/>
      <c r="J85" s="295"/>
      <c r="K85" s="295"/>
      <c r="L85" s="295"/>
      <c r="M85" s="295"/>
    </row>
    <row r="86" spans="1:13" hidden="1" outlineLevel="2">
      <c r="A86" s="285" t="s">
        <v>103</v>
      </c>
      <c r="B86" s="286"/>
      <c r="C86" s="284" t="s">
        <v>445</v>
      </c>
      <c r="D86" s="284"/>
      <c r="E86" s="284"/>
      <c r="F86" s="284"/>
      <c r="G86" s="284"/>
      <c r="H86" s="284"/>
      <c r="I86" s="284"/>
      <c r="J86" s="284"/>
      <c r="K86" s="284"/>
      <c r="L86" s="284"/>
      <c r="M86" s="108">
        <f>'11.17'!H106</f>
        <v>0</v>
      </c>
    </row>
    <row r="87" spans="1:13" ht="39" hidden="1" outlineLevel="2">
      <c r="A87" s="287"/>
      <c r="B87" s="288"/>
      <c r="C87" s="296" t="s">
        <v>423</v>
      </c>
      <c r="D87" s="296"/>
      <c r="E87" s="296"/>
      <c r="F87" s="296" t="s">
        <v>412</v>
      </c>
      <c r="G87" s="296"/>
      <c r="H87" s="191" t="s">
        <v>413</v>
      </c>
      <c r="I87" s="296" t="s">
        <v>414</v>
      </c>
      <c r="J87" s="296"/>
      <c r="K87" s="296"/>
      <c r="L87" s="191" t="s">
        <v>415</v>
      </c>
      <c r="M87" s="191" t="s">
        <v>109</v>
      </c>
    </row>
    <row r="88" spans="1:13" hidden="1" outlineLevel="2">
      <c r="A88" s="287"/>
      <c r="B88" s="288"/>
      <c r="C88" s="297"/>
      <c r="D88" s="297"/>
      <c r="E88" s="297"/>
      <c r="F88" s="297"/>
      <c r="G88" s="297"/>
      <c r="H88" s="189"/>
      <c r="I88" s="294"/>
      <c r="J88" s="294"/>
      <c r="K88" s="294"/>
      <c r="L88" s="107">
        <f>F88-C88</f>
        <v>0</v>
      </c>
      <c r="M88" s="298"/>
    </row>
    <row r="89" spans="1:13" hidden="1" outlineLevel="2">
      <c r="A89" s="287"/>
      <c r="B89" s="288"/>
      <c r="C89" s="297"/>
      <c r="D89" s="297"/>
      <c r="E89" s="297"/>
      <c r="F89" s="297"/>
      <c r="G89" s="297"/>
      <c r="H89" s="189"/>
      <c r="I89" s="391"/>
      <c r="J89" s="391"/>
      <c r="K89" s="391"/>
      <c r="L89" s="107">
        <f>F89-C89</f>
        <v>0</v>
      </c>
      <c r="M89" s="298"/>
    </row>
    <row r="90" spans="1:13" hidden="1" outlineLevel="2">
      <c r="A90" s="287"/>
      <c r="B90" s="288"/>
      <c r="C90" s="393"/>
      <c r="D90" s="393"/>
      <c r="E90" s="393"/>
      <c r="F90" s="393"/>
      <c r="G90" s="393"/>
      <c r="H90" s="189"/>
      <c r="I90" s="294"/>
      <c r="J90" s="294"/>
      <c r="K90" s="294"/>
      <c r="L90" s="107">
        <f>F90-C90</f>
        <v>0</v>
      </c>
      <c r="M90" s="298"/>
    </row>
    <row r="91" spans="1:13" hidden="1" outlineLevel="1" collapsed="1">
      <c r="A91" s="289"/>
      <c r="B91" s="290"/>
      <c r="C91" s="284" t="s">
        <v>446</v>
      </c>
      <c r="D91" s="284"/>
      <c r="E91" s="284"/>
      <c r="F91" s="284"/>
      <c r="G91" s="284"/>
      <c r="H91" s="284"/>
      <c r="I91" s="284"/>
      <c r="J91" s="284"/>
      <c r="K91" s="284"/>
      <c r="L91" s="284"/>
      <c r="M91" s="108">
        <f>SUM(L88:L90)</f>
        <v>0</v>
      </c>
    </row>
    <row r="92" spans="1:13" hidden="1" outlineLevel="1">
      <c r="A92" s="360"/>
      <c r="B92" s="360"/>
      <c r="C92" s="284" t="s">
        <v>447</v>
      </c>
      <c r="D92" s="284"/>
      <c r="E92" s="284"/>
      <c r="F92" s="284"/>
      <c r="G92" s="284"/>
      <c r="H92" s="284"/>
      <c r="I92" s="284"/>
      <c r="J92" s="284"/>
      <c r="K92" s="284"/>
      <c r="L92" s="284"/>
      <c r="M92" s="108">
        <f>M86+M91</f>
        <v>0</v>
      </c>
    </row>
    <row r="93" spans="1:13" hidden="1" outlineLevel="1" collapsed="1">
      <c r="A93" s="295" t="s">
        <v>167</v>
      </c>
      <c r="B93" s="295"/>
      <c r="C93" s="295"/>
      <c r="D93" s="295"/>
      <c r="E93" s="295"/>
      <c r="F93" s="295"/>
      <c r="G93" s="295"/>
      <c r="H93" s="295"/>
      <c r="I93" s="295"/>
      <c r="J93" s="295"/>
      <c r="K93" s="295"/>
      <c r="L93" s="295"/>
      <c r="M93" s="295"/>
    </row>
    <row r="94" spans="1:13" hidden="1" outlineLevel="2">
      <c r="A94" s="285" t="s">
        <v>103</v>
      </c>
      <c r="B94" s="286"/>
      <c r="C94" s="284" t="s">
        <v>448</v>
      </c>
      <c r="D94" s="284"/>
      <c r="E94" s="284"/>
      <c r="F94" s="284"/>
      <c r="G94" s="284"/>
      <c r="H94" s="284"/>
      <c r="I94" s="284"/>
      <c r="J94" s="284"/>
      <c r="K94" s="284"/>
      <c r="L94" s="284"/>
      <c r="M94" s="110">
        <f>'11.17'!H120</f>
        <v>0</v>
      </c>
    </row>
    <row r="95" spans="1:13" ht="39" hidden="1" outlineLevel="2">
      <c r="A95" s="287"/>
      <c r="B95" s="288"/>
      <c r="C95" s="296" t="s">
        <v>423</v>
      </c>
      <c r="D95" s="296"/>
      <c r="E95" s="296"/>
      <c r="F95" s="296" t="s">
        <v>412</v>
      </c>
      <c r="G95" s="296"/>
      <c r="H95" s="191" t="s">
        <v>424</v>
      </c>
      <c r="I95" s="296" t="s">
        <v>414</v>
      </c>
      <c r="J95" s="296"/>
      <c r="K95" s="296"/>
      <c r="L95" s="191" t="s">
        <v>415</v>
      </c>
      <c r="M95" s="191" t="s">
        <v>109</v>
      </c>
    </row>
    <row r="96" spans="1:13" hidden="1" outlineLevel="2">
      <c r="A96" s="287"/>
      <c r="B96" s="288"/>
      <c r="C96" s="297"/>
      <c r="D96" s="297"/>
      <c r="E96" s="297"/>
      <c r="F96" s="297"/>
      <c r="G96" s="297"/>
      <c r="H96" s="189"/>
      <c r="I96" s="294"/>
      <c r="J96" s="294"/>
      <c r="K96" s="294"/>
      <c r="L96" s="107">
        <f>F96-C96</f>
        <v>0</v>
      </c>
      <c r="M96" s="394"/>
    </row>
    <row r="97" spans="1:13" hidden="1" outlineLevel="2">
      <c r="A97" s="287"/>
      <c r="B97" s="288"/>
      <c r="C97" s="297"/>
      <c r="D97" s="297"/>
      <c r="E97" s="297"/>
      <c r="F97" s="297"/>
      <c r="G97" s="297"/>
      <c r="H97" s="189"/>
      <c r="I97" s="391"/>
      <c r="J97" s="391"/>
      <c r="K97" s="391"/>
      <c r="L97" s="107">
        <f>F97-C97</f>
        <v>0</v>
      </c>
      <c r="M97" s="394"/>
    </row>
    <row r="98" spans="1:13" hidden="1" outlineLevel="2">
      <c r="A98" s="287"/>
      <c r="B98" s="288"/>
      <c r="C98" s="297"/>
      <c r="D98" s="297"/>
      <c r="E98" s="297"/>
      <c r="F98" s="297"/>
      <c r="G98" s="297"/>
      <c r="H98" s="189"/>
      <c r="I98" s="294"/>
      <c r="J98" s="294"/>
      <c r="K98" s="294"/>
      <c r="L98" s="107">
        <f>F98-C98</f>
        <v>0</v>
      </c>
      <c r="M98" s="394"/>
    </row>
    <row r="99" spans="1:13" hidden="1" outlineLevel="2">
      <c r="A99" s="287"/>
      <c r="B99" s="288"/>
      <c r="C99" s="376" t="s">
        <v>425</v>
      </c>
      <c r="D99" s="376"/>
      <c r="E99" s="376"/>
      <c r="F99" s="377"/>
      <c r="G99" s="377"/>
      <c r="H99" s="377"/>
      <c r="I99" s="377"/>
      <c r="J99" s="377"/>
      <c r="K99" s="377"/>
      <c r="L99" s="377"/>
      <c r="M99" s="394"/>
    </row>
    <row r="100" spans="1:13" hidden="1" outlineLevel="1" collapsed="1">
      <c r="A100" s="289"/>
      <c r="B100" s="290"/>
      <c r="C100" s="284" t="s">
        <v>449</v>
      </c>
      <c r="D100" s="284"/>
      <c r="E100" s="284"/>
      <c r="F100" s="284"/>
      <c r="G100" s="284"/>
      <c r="H100" s="284"/>
      <c r="I100" s="284"/>
      <c r="J100" s="284"/>
      <c r="K100" s="284"/>
      <c r="L100" s="284"/>
      <c r="M100" s="110">
        <f>SUM(L96:L98)</f>
        <v>0</v>
      </c>
    </row>
    <row r="101" spans="1:13" hidden="1" outlineLevel="1">
      <c r="A101" s="291"/>
      <c r="B101" s="292"/>
      <c r="C101" s="284" t="s">
        <v>450</v>
      </c>
      <c r="D101" s="284"/>
      <c r="E101" s="284"/>
      <c r="F101" s="284"/>
      <c r="G101" s="284"/>
      <c r="H101" s="284"/>
      <c r="I101" s="284"/>
      <c r="J101" s="284"/>
      <c r="K101" s="284"/>
      <c r="L101" s="284"/>
      <c r="M101" s="110">
        <f>M94+M100</f>
        <v>0</v>
      </c>
    </row>
    <row r="102" spans="1:13" hidden="1" outlineLevel="1" collapsed="1">
      <c r="A102" s="295" t="s">
        <v>451</v>
      </c>
      <c r="B102" s="295"/>
      <c r="C102" s="295"/>
      <c r="D102" s="295"/>
      <c r="E102" s="295"/>
      <c r="F102" s="295"/>
      <c r="G102" s="295"/>
      <c r="H102" s="295"/>
      <c r="I102" s="295"/>
      <c r="J102" s="295"/>
      <c r="K102" s="295"/>
      <c r="L102" s="295"/>
      <c r="M102" s="295"/>
    </row>
    <row r="103" spans="1:13" hidden="1" outlineLevel="2">
      <c r="A103" s="285" t="s">
        <v>103</v>
      </c>
      <c r="B103" s="286"/>
      <c r="C103" s="284" t="s">
        <v>452</v>
      </c>
      <c r="D103" s="284"/>
      <c r="E103" s="284"/>
      <c r="F103" s="284"/>
      <c r="G103" s="284"/>
      <c r="H103" s="284"/>
      <c r="I103" s="284"/>
      <c r="J103" s="284"/>
      <c r="K103" s="284"/>
      <c r="L103" s="284"/>
      <c r="M103" s="110">
        <f>'11.17'!H126</f>
        <v>0</v>
      </c>
    </row>
    <row r="104" spans="1:13" ht="39" hidden="1" outlineLevel="2">
      <c r="A104" s="287"/>
      <c r="B104" s="288"/>
      <c r="C104" s="296" t="s">
        <v>423</v>
      </c>
      <c r="D104" s="296"/>
      <c r="E104" s="296"/>
      <c r="F104" s="296" t="s">
        <v>412</v>
      </c>
      <c r="G104" s="296"/>
      <c r="H104" s="191" t="s">
        <v>413</v>
      </c>
      <c r="I104" s="296" t="s">
        <v>414</v>
      </c>
      <c r="J104" s="296"/>
      <c r="K104" s="296"/>
      <c r="L104" s="191" t="s">
        <v>415</v>
      </c>
      <c r="M104" s="191" t="s">
        <v>109</v>
      </c>
    </row>
    <row r="105" spans="1:13" hidden="1" outlineLevel="2">
      <c r="A105" s="287"/>
      <c r="B105" s="288"/>
      <c r="C105" s="297"/>
      <c r="D105" s="297"/>
      <c r="E105" s="297"/>
      <c r="F105" s="297"/>
      <c r="G105" s="297"/>
      <c r="H105" s="75"/>
      <c r="I105" s="395"/>
      <c r="J105" s="395"/>
      <c r="K105" s="395"/>
      <c r="L105" s="107">
        <f>F105-C105</f>
        <v>0</v>
      </c>
      <c r="M105" s="396"/>
    </row>
    <row r="106" spans="1:13" hidden="1" outlineLevel="2">
      <c r="A106" s="287"/>
      <c r="B106" s="288"/>
      <c r="C106" s="297"/>
      <c r="D106" s="297"/>
      <c r="E106" s="297"/>
      <c r="F106" s="297"/>
      <c r="G106" s="297"/>
      <c r="H106" s="75"/>
      <c r="I106" s="395"/>
      <c r="J106" s="395"/>
      <c r="K106" s="395"/>
      <c r="L106" s="107">
        <f>F106-C106</f>
        <v>0</v>
      </c>
      <c r="M106" s="397"/>
    </row>
    <row r="107" spans="1:13" hidden="1" outlineLevel="2">
      <c r="A107" s="287"/>
      <c r="B107" s="288"/>
      <c r="C107" s="297"/>
      <c r="D107" s="297"/>
      <c r="E107" s="297"/>
      <c r="F107" s="297"/>
      <c r="G107" s="297"/>
      <c r="H107" s="75"/>
      <c r="I107" s="395"/>
      <c r="J107" s="395"/>
      <c r="K107" s="395"/>
      <c r="L107" s="107">
        <f>F107-C107</f>
        <v>0</v>
      </c>
      <c r="M107" s="397"/>
    </row>
    <row r="108" spans="1:13" hidden="1" outlineLevel="2">
      <c r="A108" s="287"/>
      <c r="B108" s="288"/>
      <c r="C108" s="297"/>
      <c r="D108" s="297"/>
      <c r="E108" s="297"/>
      <c r="F108" s="297"/>
      <c r="G108" s="297"/>
      <c r="H108" s="189"/>
      <c r="I108" s="294"/>
      <c r="J108" s="294"/>
      <c r="K108" s="294"/>
      <c r="L108" s="107">
        <f>F108-C108</f>
        <v>0</v>
      </c>
      <c r="M108" s="398"/>
    </row>
    <row r="109" spans="1:13" hidden="1" outlineLevel="1" collapsed="1">
      <c r="A109" s="289"/>
      <c r="B109" s="290"/>
      <c r="C109" s="284" t="s">
        <v>453</v>
      </c>
      <c r="D109" s="284"/>
      <c r="E109" s="284"/>
      <c r="F109" s="284"/>
      <c r="G109" s="284"/>
      <c r="H109" s="284"/>
      <c r="I109" s="284"/>
      <c r="J109" s="284"/>
      <c r="K109" s="284"/>
      <c r="L109" s="284"/>
      <c r="M109" s="110">
        <f>SUM(L105:L108)</f>
        <v>0</v>
      </c>
    </row>
    <row r="110" spans="1:13" hidden="1" outlineLevel="1">
      <c r="A110" s="291"/>
      <c r="B110" s="292"/>
      <c r="C110" s="284" t="s">
        <v>454</v>
      </c>
      <c r="D110" s="284"/>
      <c r="E110" s="284"/>
      <c r="F110" s="284"/>
      <c r="G110" s="284"/>
      <c r="H110" s="284"/>
      <c r="I110" s="284"/>
      <c r="J110" s="284"/>
      <c r="K110" s="284"/>
      <c r="L110" s="284"/>
      <c r="M110" s="110">
        <f>M103+M109</f>
        <v>0</v>
      </c>
    </row>
    <row r="111" spans="1:13" hidden="1" outlineLevel="1" collapsed="1">
      <c r="A111" s="361" t="s">
        <v>178</v>
      </c>
      <c r="B111" s="361"/>
      <c r="C111" s="361"/>
      <c r="D111" s="361"/>
      <c r="E111" s="361"/>
      <c r="F111" s="361"/>
      <c r="G111" s="361"/>
      <c r="H111" s="361"/>
      <c r="I111" s="361"/>
      <c r="J111" s="361"/>
      <c r="K111" s="361"/>
      <c r="L111" s="361"/>
      <c r="M111" s="361"/>
    </row>
    <row r="112" spans="1:13" hidden="1" outlineLevel="2">
      <c r="A112" s="285" t="s">
        <v>103</v>
      </c>
      <c r="B112" s="286"/>
      <c r="C112" s="284" t="s">
        <v>455</v>
      </c>
      <c r="D112" s="284"/>
      <c r="E112" s="284"/>
      <c r="F112" s="284"/>
      <c r="G112" s="284"/>
      <c r="H112" s="284"/>
      <c r="I112" s="284"/>
      <c r="J112" s="284"/>
      <c r="K112" s="284"/>
      <c r="L112" s="284"/>
      <c r="M112" s="108">
        <f>'11.17'!H135</f>
        <v>0</v>
      </c>
    </row>
    <row r="113" spans="1:13" ht="39" hidden="1" outlineLevel="2">
      <c r="A113" s="287"/>
      <c r="B113" s="288"/>
      <c r="C113" s="296" t="s">
        <v>423</v>
      </c>
      <c r="D113" s="296"/>
      <c r="E113" s="296"/>
      <c r="F113" s="296" t="s">
        <v>412</v>
      </c>
      <c r="G113" s="296"/>
      <c r="H113" s="191" t="s">
        <v>424</v>
      </c>
      <c r="I113" s="296" t="s">
        <v>414</v>
      </c>
      <c r="J113" s="296"/>
      <c r="K113" s="296"/>
      <c r="L113" s="191" t="s">
        <v>415</v>
      </c>
      <c r="M113" s="191" t="s">
        <v>109</v>
      </c>
    </row>
    <row r="114" spans="1:13" hidden="1" outlineLevel="2">
      <c r="A114" s="287"/>
      <c r="B114" s="288"/>
      <c r="C114" s="356"/>
      <c r="D114" s="356"/>
      <c r="E114" s="356"/>
      <c r="F114" s="356"/>
      <c r="G114" s="356"/>
      <c r="H114" s="189"/>
      <c r="I114" s="378"/>
      <c r="J114" s="378"/>
      <c r="K114" s="378"/>
      <c r="L114" s="107">
        <f>F114-C114</f>
        <v>0</v>
      </c>
      <c r="M114" s="399"/>
    </row>
    <row r="115" spans="1:13" hidden="1" outlineLevel="2">
      <c r="A115" s="287"/>
      <c r="B115" s="288"/>
      <c r="C115" s="356"/>
      <c r="D115" s="356"/>
      <c r="E115" s="356"/>
      <c r="F115" s="356"/>
      <c r="G115" s="356"/>
      <c r="H115" s="189"/>
      <c r="I115" s="283"/>
      <c r="J115" s="283"/>
      <c r="K115" s="283"/>
      <c r="L115" s="107">
        <f>F115-C115</f>
        <v>0</v>
      </c>
      <c r="M115" s="399"/>
    </row>
    <row r="116" spans="1:13" hidden="1" outlineLevel="2">
      <c r="A116" s="287"/>
      <c r="B116" s="288"/>
      <c r="C116" s="356"/>
      <c r="D116" s="356"/>
      <c r="E116" s="356"/>
      <c r="F116" s="356"/>
      <c r="G116" s="356"/>
      <c r="H116" s="189"/>
      <c r="I116" s="401"/>
      <c r="J116" s="401"/>
      <c r="K116" s="401"/>
      <c r="L116" s="107">
        <f>F116-C116</f>
        <v>0</v>
      </c>
      <c r="M116" s="399"/>
    </row>
    <row r="117" spans="1:13" hidden="1" outlineLevel="2">
      <c r="A117" s="287"/>
      <c r="B117" s="288"/>
      <c r="C117" s="356"/>
      <c r="D117" s="356"/>
      <c r="E117" s="356"/>
      <c r="F117" s="356"/>
      <c r="G117" s="356"/>
      <c r="H117" s="189"/>
      <c r="I117" s="400"/>
      <c r="J117" s="400"/>
      <c r="K117" s="400"/>
      <c r="L117" s="107">
        <f>F117-C117</f>
        <v>0</v>
      </c>
      <c r="M117" s="399"/>
    </row>
    <row r="118" spans="1:13" hidden="1" outlineLevel="1" collapsed="1">
      <c r="A118" s="289"/>
      <c r="B118" s="290"/>
      <c r="C118" s="284" t="s">
        <v>456</v>
      </c>
      <c r="D118" s="284"/>
      <c r="E118" s="284"/>
      <c r="F118" s="284"/>
      <c r="G118" s="284"/>
      <c r="H118" s="284"/>
      <c r="I118" s="284"/>
      <c r="J118" s="284"/>
      <c r="K118" s="284"/>
      <c r="L118" s="284"/>
      <c r="M118" s="108">
        <f>SUM(L114:L117)</f>
        <v>0</v>
      </c>
    </row>
    <row r="119" spans="1:13" hidden="1" outlineLevel="1">
      <c r="A119" s="291"/>
      <c r="B119" s="292"/>
      <c r="C119" s="284" t="s">
        <v>457</v>
      </c>
      <c r="D119" s="284"/>
      <c r="E119" s="284"/>
      <c r="F119" s="284"/>
      <c r="G119" s="284"/>
      <c r="H119" s="284"/>
      <c r="I119" s="284"/>
      <c r="J119" s="284"/>
      <c r="K119" s="284"/>
      <c r="L119" s="284"/>
      <c r="M119" s="108">
        <f>M112+M118</f>
        <v>0</v>
      </c>
    </row>
    <row r="120" spans="1:13" hidden="1" outlineLevel="1" collapsed="1">
      <c r="A120" s="361" t="s">
        <v>458</v>
      </c>
      <c r="B120" s="361"/>
      <c r="C120" s="361"/>
      <c r="D120" s="361"/>
      <c r="E120" s="361"/>
      <c r="F120" s="361"/>
      <c r="G120" s="361"/>
      <c r="H120" s="361"/>
      <c r="I120" s="361"/>
      <c r="J120" s="361"/>
      <c r="K120" s="361"/>
      <c r="L120" s="361"/>
      <c r="M120" s="361"/>
    </row>
    <row r="121" spans="1:13" ht="12.75" hidden="1" customHeight="1" outlineLevel="2">
      <c r="A121" s="285" t="s">
        <v>103</v>
      </c>
      <c r="B121" s="286"/>
      <c r="C121" s="402" t="s">
        <v>459</v>
      </c>
      <c r="D121" s="403"/>
      <c r="E121" s="403"/>
      <c r="F121" s="403"/>
      <c r="G121" s="403"/>
      <c r="H121" s="403"/>
      <c r="I121" s="403"/>
      <c r="J121" s="403"/>
      <c r="K121" s="403"/>
      <c r="L121" s="404"/>
      <c r="M121" s="108">
        <f>'11.17'!H142</f>
        <v>0</v>
      </c>
    </row>
    <row r="122" spans="1:13" ht="39" hidden="1" outlineLevel="2">
      <c r="A122" s="287"/>
      <c r="B122" s="288"/>
      <c r="C122" s="296" t="s">
        <v>423</v>
      </c>
      <c r="D122" s="296"/>
      <c r="E122" s="296"/>
      <c r="F122" s="296" t="s">
        <v>412</v>
      </c>
      <c r="G122" s="296"/>
      <c r="H122" s="191" t="s">
        <v>413</v>
      </c>
      <c r="I122" s="296" t="s">
        <v>414</v>
      </c>
      <c r="J122" s="296"/>
      <c r="K122" s="296"/>
      <c r="L122" s="191" t="s">
        <v>415</v>
      </c>
      <c r="M122" s="191" t="s">
        <v>109</v>
      </c>
    </row>
    <row r="123" spans="1:13" hidden="1" outlineLevel="2">
      <c r="A123" s="287"/>
      <c r="B123" s="288"/>
      <c r="C123" s="356"/>
      <c r="D123" s="356"/>
      <c r="E123" s="356"/>
      <c r="F123" s="356"/>
      <c r="G123" s="356"/>
      <c r="H123" s="189"/>
      <c r="I123" s="378"/>
      <c r="J123" s="378"/>
      <c r="K123" s="378"/>
      <c r="L123" s="107">
        <f>F123-C123</f>
        <v>0</v>
      </c>
      <c r="M123" s="298"/>
    </row>
    <row r="124" spans="1:13" hidden="1" outlineLevel="2">
      <c r="A124" s="287"/>
      <c r="B124" s="288"/>
      <c r="C124" s="356"/>
      <c r="D124" s="356"/>
      <c r="E124" s="356"/>
      <c r="F124" s="356"/>
      <c r="G124" s="356"/>
      <c r="H124" s="189"/>
      <c r="I124" s="378"/>
      <c r="J124" s="378"/>
      <c r="K124" s="378"/>
      <c r="L124" s="107">
        <f>F124-C124</f>
        <v>0</v>
      </c>
      <c r="M124" s="298"/>
    </row>
    <row r="125" spans="1:13" hidden="1" outlineLevel="2">
      <c r="A125" s="287"/>
      <c r="B125" s="288"/>
      <c r="C125" s="356"/>
      <c r="D125" s="356"/>
      <c r="E125" s="356"/>
      <c r="F125" s="356"/>
      <c r="G125" s="356"/>
      <c r="H125" s="189"/>
      <c r="I125" s="401"/>
      <c r="J125" s="401"/>
      <c r="K125" s="401"/>
      <c r="L125" s="107">
        <f>F125-C125</f>
        <v>0</v>
      </c>
      <c r="M125" s="298"/>
    </row>
    <row r="126" spans="1:13" hidden="1" outlineLevel="2">
      <c r="A126" s="287"/>
      <c r="B126" s="288"/>
      <c r="C126" s="356"/>
      <c r="D126" s="356"/>
      <c r="E126" s="356"/>
      <c r="F126" s="356"/>
      <c r="G126" s="356"/>
      <c r="H126" s="189"/>
      <c r="I126" s="408"/>
      <c r="J126" s="408"/>
      <c r="K126" s="408"/>
      <c r="L126" s="107">
        <f>F126-C126</f>
        <v>0</v>
      </c>
      <c r="M126" s="298"/>
    </row>
    <row r="127" spans="1:13" ht="12.75" hidden="1" customHeight="1" outlineLevel="1" collapsed="1">
      <c r="A127" s="289"/>
      <c r="B127" s="290"/>
      <c r="C127" s="422" t="s">
        <v>460</v>
      </c>
      <c r="D127" s="423"/>
      <c r="E127" s="423"/>
      <c r="F127" s="423"/>
      <c r="G127" s="423"/>
      <c r="H127" s="423"/>
      <c r="I127" s="423"/>
      <c r="J127" s="423"/>
      <c r="K127" s="423"/>
      <c r="L127" s="424"/>
      <c r="M127" s="108">
        <f>SUM(L123:L126)</f>
        <v>0</v>
      </c>
    </row>
    <row r="128" spans="1:13" ht="12.75" hidden="1" customHeight="1" outlineLevel="1">
      <c r="A128" s="291"/>
      <c r="B128" s="292"/>
      <c r="C128" s="402" t="s">
        <v>461</v>
      </c>
      <c r="D128" s="403"/>
      <c r="E128" s="403"/>
      <c r="F128" s="403"/>
      <c r="G128" s="403"/>
      <c r="H128" s="403"/>
      <c r="I128" s="403"/>
      <c r="J128" s="403"/>
      <c r="K128" s="403"/>
      <c r="L128" s="404"/>
      <c r="M128" s="108">
        <f>M121+M127</f>
        <v>0</v>
      </c>
    </row>
    <row r="129" spans="1:19" hidden="1" outlineLevel="1">
      <c r="A129" s="361" t="s">
        <v>462</v>
      </c>
      <c r="B129" s="361"/>
      <c r="C129" s="361"/>
      <c r="D129" s="361"/>
      <c r="E129" s="361"/>
      <c r="F129" s="361"/>
      <c r="G129" s="361"/>
      <c r="H129" s="361"/>
      <c r="I129" s="361"/>
      <c r="J129" s="361"/>
      <c r="K129" s="361"/>
      <c r="L129" s="361"/>
      <c r="M129" s="108">
        <f>SUM(M15,M21,M27,M39,M49,M59,M70,M78,M86,M94,M103,M112,M121)</f>
        <v>0</v>
      </c>
      <c r="O129" s="3"/>
    </row>
    <row r="130" spans="1:19" hidden="1" outlineLevel="1">
      <c r="A130" s="418" t="s">
        <v>463</v>
      </c>
      <c r="B130" s="361"/>
      <c r="C130" s="361"/>
      <c r="D130" s="361"/>
      <c r="E130" s="361"/>
      <c r="F130" s="361"/>
      <c r="G130" s="361"/>
      <c r="H130" s="361"/>
      <c r="I130" s="361"/>
      <c r="J130" s="361"/>
      <c r="K130" s="361"/>
      <c r="L130" s="361"/>
      <c r="M130" s="108">
        <f>SUM(M18+M24+M36+M46+M56+M67+M75+M83+M91+M100+M109+M118+M127)</f>
        <v>0</v>
      </c>
    </row>
    <row r="131" spans="1:19" hidden="1" outlineLevel="1">
      <c r="A131" s="418" t="s">
        <v>464</v>
      </c>
      <c r="B131" s="361"/>
      <c r="C131" s="361"/>
      <c r="D131" s="361"/>
      <c r="E131" s="361"/>
      <c r="F131" s="361"/>
      <c r="G131" s="361"/>
      <c r="H131" s="361"/>
      <c r="I131" s="361"/>
      <c r="J131" s="361"/>
      <c r="K131" s="361"/>
      <c r="L131" s="361"/>
      <c r="M131" s="108">
        <f>M129+M130</f>
        <v>0</v>
      </c>
    </row>
    <row r="132" spans="1:19" ht="13.5" hidden="1" outlineLevel="1" thickBot="1">
      <c r="A132" s="418" t="s">
        <v>197</v>
      </c>
      <c r="B132" s="361"/>
      <c r="C132" s="361"/>
      <c r="D132" s="361"/>
      <c r="E132" s="361"/>
      <c r="F132" s="361"/>
      <c r="G132" s="361"/>
      <c r="H132" s="361"/>
      <c r="I132" s="361"/>
      <c r="J132" s="361"/>
      <c r="K132" s="361"/>
      <c r="L132" s="361"/>
      <c r="M132" s="115">
        <f>'11.17'!H145</f>
        <v>0</v>
      </c>
    </row>
    <row r="133" spans="1:19" ht="14.45" customHeight="1">
      <c r="A133" s="419" t="s">
        <v>465</v>
      </c>
      <c r="B133" s="420"/>
      <c r="C133" s="420"/>
      <c r="D133" s="420"/>
      <c r="E133" s="420"/>
      <c r="F133" s="420"/>
      <c r="G133" s="420"/>
      <c r="H133" s="420"/>
      <c r="I133" s="420"/>
      <c r="J133" s="420"/>
      <c r="K133" s="420"/>
      <c r="L133" s="420"/>
      <c r="M133" s="421"/>
    </row>
    <row r="134" spans="1:19" ht="26.1" customHeight="1">
      <c r="A134" s="405" t="s">
        <v>466</v>
      </c>
      <c r="B134" s="406"/>
      <c r="C134" s="406"/>
      <c r="D134" s="406"/>
      <c r="E134" s="406"/>
      <c r="F134" s="406"/>
      <c r="G134" s="406"/>
      <c r="H134" s="406"/>
      <c r="I134" s="406"/>
      <c r="J134" s="406"/>
      <c r="K134" s="406"/>
      <c r="L134" s="406"/>
      <c r="M134" s="407"/>
    </row>
    <row r="135" spans="1:19" ht="30" customHeight="1">
      <c r="A135" s="412" t="s">
        <v>204</v>
      </c>
      <c r="B135" s="413"/>
      <c r="C135" s="413"/>
      <c r="D135" s="413"/>
      <c r="E135" s="413"/>
      <c r="F135" s="413"/>
      <c r="G135" s="413"/>
      <c r="H135" s="414"/>
      <c r="I135" s="414"/>
      <c r="J135" s="414"/>
      <c r="K135" s="414"/>
      <c r="L135" s="190" t="s">
        <v>205</v>
      </c>
      <c r="M135" s="113"/>
    </row>
    <row r="136" spans="1:19" ht="30.75" customHeight="1">
      <c r="A136" s="412" t="s">
        <v>207</v>
      </c>
      <c r="B136" s="413"/>
      <c r="C136" s="413"/>
      <c r="D136" s="413"/>
      <c r="E136" s="413"/>
      <c r="F136" s="413"/>
      <c r="G136" s="413"/>
      <c r="H136" s="414"/>
      <c r="I136" s="414"/>
      <c r="J136" s="414"/>
      <c r="K136" s="414"/>
      <c r="L136" s="190" t="s">
        <v>205</v>
      </c>
      <c r="M136" s="113"/>
    </row>
    <row r="137" spans="1:19" ht="31.5" customHeight="1" thickBot="1">
      <c r="A137" s="415" t="s">
        <v>467</v>
      </c>
      <c r="B137" s="416"/>
      <c r="C137" s="416"/>
      <c r="D137" s="416"/>
      <c r="E137" s="416"/>
      <c r="F137" s="416"/>
      <c r="G137" s="416"/>
      <c r="H137" s="417"/>
      <c r="I137" s="417"/>
      <c r="J137" s="417"/>
      <c r="K137" s="417"/>
      <c r="L137" s="85" t="s">
        <v>205</v>
      </c>
      <c r="M137" s="114"/>
    </row>
    <row r="138" spans="1:19" ht="13.5" thickBot="1">
      <c r="A138" s="409" t="s">
        <v>209</v>
      </c>
      <c r="B138" s="410"/>
      <c r="C138" s="410"/>
      <c r="D138" s="410"/>
      <c r="E138" s="410"/>
      <c r="F138" s="410"/>
      <c r="G138" s="410"/>
      <c r="H138" s="410"/>
      <c r="I138" s="410"/>
      <c r="J138" s="410"/>
      <c r="K138" s="410"/>
      <c r="L138" s="410"/>
      <c r="M138" s="411"/>
    </row>
    <row r="139" spans="1:19" s="1" customFormat="1" ht="11.25" customHeight="1">
      <c r="A139" s="2"/>
      <c r="B139" s="2"/>
      <c r="C139" s="2"/>
      <c r="D139" s="2"/>
      <c r="E139" s="2"/>
      <c r="F139" s="2"/>
      <c r="G139" s="2"/>
      <c r="H139" s="2"/>
      <c r="J139"/>
      <c r="K139"/>
      <c r="L139"/>
      <c r="M139"/>
      <c r="N139"/>
      <c r="O139"/>
      <c r="P139"/>
      <c r="Q139"/>
      <c r="R139"/>
      <c r="S139"/>
    </row>
    <row r="140" spans="1:19" s="1" customFormat="1" ht="54.95" customHeight="1">
      <c r="A140" s="280" t="s">
        <v>468</v>
      </c>
      <c r="B140" s="280"/>
      <c r="C140" s="280"/>
      <c r="D140" s="280"/>
      <c r="E140" s="280"/>
      <c r="F140" s="280"/>
      <c r="G140" s="280"/>
      <c r="H140" s="280"/>
      <c r="I140" s="280"/>
      <c r="J140" s="280"/>
      <c r="K140" s="280"/>
      <c r="L140" s="280"/>
      <c r="M140" s="280"/>
      <c r="N140"/>
      <c r="O140"/>
      <c r="P140"/>
      <c r="Q140"/>
      <c r="R140"/>
      <c r="S140"/>
    </row>
    <row r="146" spans="8:8">
      <c r="H146" s="35"/>
    </row>
  </sheetData>
  <sheetProtection algorithmName="SHA-512" hashValue="KkaDSbRsReBrqxL+zzIqvtY9opLBlqCylQ46P2lZQODw0zAp5DQv4T+xIF9fjPTOk4r9WkFB4AAwSqj3EkQVMA==" saltValue="szJSVd7ePNM5/jRfv0q+Hw==" spinCount="100000" sheet="1" formatCells="0" formatColumns="0" formatRows="0"/>
  <mergeCells count="324">
    <mergeCell ref="A134:M134"/>
    <mergeCell ref="F126:G126"/>
    <mergeCell ref="I126:K126"/>
    <mergeCell ref="A138:M138"/>
    <mergeCell ref="A136:G136"/>
    <mergeCell ref="H136:K136"/>
    <mergeCell ref="A137:G137"/>
    <mergeCell ref="H137:K137"/>
    <mergeCell ref="A129:L129"/>
    <mergeCell ref="A130:L130"/>
    <mergeCell ref="A133:M133"/>
    <mergeCell ref="A135:G135"/>
    <mergeCell ref="H135:K135"/>
    <mergeCell ref="A132:L132"/>
    <mergeCell ref="C127:L127"/>
    <mergeCell ref="C128:L128"/>
    <mergeCell ref="A131:L131"/>
    <mergeCell ref="A120:M120"/>
    <mergeCell ref="C122:E122"/>
    <mergeCell ref="F122:G122"/>
    <mergeCell ref="I122:K122"/>
    <mergeCell ref="C123:E123"/>
    <mergeCell ref="F123:G123"/>
    <mergeCell ref="I123:K123"/>
    <mergeCell ref="M123:M126"/>
    <mergeCell ref="C124:E124"/>
    <mergeCell ref="F124:G124"/>
    <mergeCell ref="I124:K124"/>
    <mergeCell ref="C125:E125"/>
    <mergeCell ref="F125:G125"/>
    <mergeCell ref="I125:K125"/>
    <mergeCell ref="C126:E126"/>
    <mergeCell ref="C121:L121"/>
    <mergeCell ref="C109:L109"/>
    <mergeCell ref="A111:M111"/>
    <mergeCell ref="C113:E113"/>
    <mergeCell ref="F113:G113"/>
    <mergeCell ref="I113:K113"/>
    <mergeCell ref="C114:E114"/>
    <mergeCell ref="F114:G114"/>
    <mergeCell ref="I114:K114"/>
    <mergeCell ref="M114:M117"/>
    <mergeCell ref="C117:E117"/>
    <mergeCell ref="F117:G117"/>
    <mergeCell ref="I117:K117"/>
    <mergeCell ref="A112:B118"/>
    <mergeCell ref="C118:L118"/>
    <mergeCell ref="C110:L110"/>
    <mergeCell ref="C112:L112"/>
    <mergeCell ref="C115:E115"/>
    <mergeCell ref="F115:G115"/>
    <mergeCell ref="I115:K115"/>
    <mergeCell ref="C116:E116"/>
    <mergeCell ref="F116:G116"/>
    <mergeCell ref="I116:K116"/>
    <mergeCell ref="F106:G106"/>
    <mergeCell ref="I106:K106"/>
    <mergeCell ref="C107:E107"/>
    <mergeCell ref="F107:G107"/>
    <mergeCell ref="I107:K107"/>
    <mergeCell ref="C108:E108"/>
    <mergeCell ref="F108:G108"/>
    <mergeCell ref="I108:K108"/>
    <mergeCell ref="C100:L100"/>
    <mergeCell ref="A102:M102"/>
    <mergeCell ref="C104:E104"/>
    <mergeCell ref="F104:G104"/>
    <mergeCell ref="I104:K104"/>
    <mergeCell ref="C105:E105"/>
    <mergeCell ref="F105:G105"/>
    <mergeCell ref="I105:K105"/>
    <mergeCell ref="C106:E106"/>
    <mergeCell ref="C101:L101"/>
    <mergeCell ref="C103:L103"/>
    <mergeCell ref="M105:M108"/>
    <mergeCell ref="C91:L91"/>
    <mergeCell ref="A93:M93"/>
    <mergeCell ref="C95:E95"/>
    <mergeCell ref="F95:G95"/>
    <mergeCell ref="I95:K95"/>
    <mergeCell ref="C96:E96"/>
    <mergeCell ref="F96:G96"/>
    <mergeCell ref="I96:K96"/>
    <mergeCell ref="M96:M99"/>
    <mergeCell ref="C97:E97"/>
    <mergeCell ref="F97:G97"/>
    <mergeCell ref="I97:K97"/>
    <mergeCell ref="C98:E98"/>
    <mergeCell ref="F98:G98"/>
    <mergeCell ref="I98:K98"/>
    <mergeCell ref="C99:E99"/>
    <mergeCell ref="F99:L99"/>
    <mergeCell ref="C94:L94"/>
    <mergeCell ref="A92:B92"/>
    <mergeCell ref="C92:L92"/>
    <mergeCell ref="A78:B83"/>
    <mergeCell ref="C89:E89"/>
    <mergeCell ref="F89:G89"/>
    <mergeCell ref="I89:K89"/>
    <mergeCell ref="C90:E90"/>
    <mergeCell ref="F90:G90"/>
    <mergeCell ref="I90:K90"/>
    <mergeCell ref="C83:L83"/>
    <mergeCell ref="A85:M85"/>
    <mergeCell ref="C87:E87"/>
    <mergeCell ref="F87:G87"/>
    <mergeCell ref="I87:K87"/>
    <mergeCell ref="C88:E88"/>
    <mergeCell ref="F88:G88"/>
    <mergeCell ref="I88:K88"/>
    <mergeCell ref="M88:M90"/>
    <mergeCell ref="C84:L84"/>
    <mergeCell ref="C86:L86"/>
    <mergeCell ref="A84:B84"/>
    <mergeCell ref="C57:L57"/>
    <mergeCell ref="A57:B57"/>
    <mergeCell ref="C59:L59"/>
    <mergeCell ref="F62:G62"/>
    <mergeCell ref="I62:K62"/>
    <mergeCell ref="C63:E63"/>
    <mergeCell ref="C82:E82"/>
    <mergeCell ref="F82:G82"/>
    <mergeCell ref="I82:K82"/>
    <mergeCell ref="C75:L75"/>
    <mergeCell ref="A77:M77"/>
    <mergeCell ref="C79:E79"/>
    <mergeCell ref="F79:G79"/>
    <mergeCell ref="I79:K79"/>
    <mergeCell ref="C80:E80"/>
    <mergeCell ref="F80:G80"/>
    <mergeCell ref="I80:K80"/>
    <mergeCell ref="M80:M82"/>
    <mergeCell ref="A76:B76"/>
    <mergeCell ref="C81:E81"/>
    <mergeCell ref="F81:G81"/>
    <mergeCell ref="I81:K81"/>
    <mergeCell ref="C78:L78"/>
    <mergeCell ref="A70:B75"/>
    <mergeCell ref="A58:M58"/>
    <mergeCell ref="C60:E60"/>
    <mergeCell ref="F60:G60"/>
    <mergeCell ref="I60:K60"/>
    <mergeCell ref="C61:E61"/>
    <mergeCell ref="F64:G64"/>
    <mergeCell ref="I64:K64"/>
    <mergeCell ref="C65:E65"/>
    <mergeCell ref="F65:G65"/>
    <mergeCell ref="I65:K65"/>
    <mergeCell ref="F61:G61"/>
    <mergeCell ref="I61:K61"/>
    <mergeCell ref="M61:M66"/>
    <mergeCell ref="C62:E62"/>
    <mergeCell ref="F63:G63"/>
    <mergeCell ref="I63:K63"/>
    <mergeCell ref="C64:E64"/>
    <mergeCell ref="C66:E66"/>
    <mergeCell ref="F66:L66"/>
    <mergeCell ref="A48:M48"/>
    <mergeCell ref="C50:E50"/>
    <mergeCell ref="F50:G50"/>
    <mergeCell ref="I50:K50"/>
    <mergeCell ref="C51:E51"/>
    <mergeCell ref="F51:G51"/>
    <mergeCell ref="I51:K51"/>
    <mergeCell ref="M51:M55"/>
    <mergeCell ref="C52:E52"/>
    <mergeCell ref="F52:G52"/>
    <mergeCell ref="I52:K52"/>
    <mergeCell ref="C53:E53"/>
    <mergeCell ref="F53:G53"/>
    <mergeCell ref="I53:K53"/>
    <mergeCell ref="C54:E54"/>
    <mergeCell ref="F54:G54"/>
    <mergeCell ref="C49:L49"/>
    <mergeCell ref="I54:K54"/>
    <mergeCell ref="C55:E55"/>
    <mergeCell ref="F55:L55"/>
    <mergeCell ref="A49:B56"/>
    <mergeCell ref="C56:L56"/>
    <mergeCell ref="C37:L37"/>
    <mergeCell ref="C43:E43"/>
    <mergeCell ref="F43:G43"/>
    <mergeCell ref="I43:K43"/>
    <mergeCell ref="C44:E44"/>
    <mergeCell ref="F44:G44"/>
    <mergeCell ref="I44:K44"/>
    <mergeCell ref="A38:M38"/>
    <mergeCell ref="C40:E40"/>
    <mergeCell ref="F40:G40"/>
    <mergeCell ref="I40:K40"/>
    <mergeCell ref="C41:E41"/>
    <mergeCell ref="F41:G41"/>
    <mergeCell ref="I41:K41"/>
    <mergeCell ref="M41:M45"/>
    <mergeCell ref="C42:E42"/>
    <mergeCell ref="C45:E45"/>
    <mergeCell ref="F45:L45"/>
    <mergeCell ref="A39:B46"/>
    <mergeCell ref="C46:L46"/>
    <mergeCell ref="F42:G42"/>
    <mergeCell ref="I42:K42"/>
    <mergeCell ref="A37:B37"/>
    <mergeCell ref="C39:L39"/>
    <mergeCell ref="A25:B25"/>
    <mergeCell ref="C25:L25"/>
    <mergeCell ref="A26:M26"/>
    <mergeCell ref="C28:E28"/>
    <mergeCell ref="F28:G28"/>
    <mergeCell ref="I28:K28"/>
    <mergeCell ref="C27:L27"/>
    <mergeCell ref="C33:E33"/>
    <mergeCell ref="F33:G33"/>
    <mergeCell ref="I33:K33"/>
    <mergeCell ref="A27:B36"/>
    <mergeCell ref="M29:M35"/>
    <mergeCell ref="C34:E34"/>
    <mergeCell ref="F34:G34"/>
    <mergeCell ref="I34:K34"/>
    <mergeCell ref="C35:E35"/>
    <mergeCell ref="F35:L35"/>
    <mergeCell ref="C36:L36"/>
    <mergeCell ref="C23:E23"/>
    <mergeCell ref="F23:G23"/>
    <mergeCell ref="I23:K23"/>
    <mergeCell ref="I17:K17"/>
    <mergeCell ref="C18:L18"/>
    <mergeCell ref="A19:B19"/>
    <mergeCell ref="C19:L19"/>
    <mergeCell ref="A20:M20"/>
    <mergeCell ref="C21:L21"/>
    <mergeCell ref="A15:B18"/>
    <mergeCell ref="A21:B24"/>
    <mergeCell ref="C24:L24"/>
    <mergeCell ref="C17:E17"/>
    <mergeCell ref="F17:G17"/>
    <mergeCell ref="C15:L15"/>
    <mergeCell ref="A1:M1"/>
    <mergeCell ref="A2:F2"/>
    <mergeCell ref="G2:H2"/>
    <mergeCell ref="I2:K2"/>
    <mergeCell ref="L2:M2"/>
    <mergeCell ref="A3:F3"/>
    <mergeCell ref="G3:H3"/>
    <mergeCell ref="I3:K3"/>
    <mergeCell ref="L3:M3"/>
    <mergeCell ref="A4:F4"/>
    <mergeCell ref="G4:H4"/>
    <mergeCell ref="I4:K4"/>
    <mergeCell ref="L4:M4"/>
    <mergeCell ref="A8:M8"/>
    <mergeCell ref="A9:F9"/>
    <mergeCell ref="G9:H9"/>
    <mergeCell ref="I9:K9"/>
    <mergeCell ref="L9:M9"/>
    <mergeCell ref="A5:F5"/>
    <mergeCell ref="G5:H5"/>
    <mergeCell ref="I5:K5"/>
    <mergeCell ref="L5:M5"/>
    <mergeCell ref="C47:L47"/>
    <mergeCell ref="A47:B47"/>
    <mergeCell ref="A6:F6"/>
    <mergeCell ref="G6:H6"/>
    <mergeCell ref="I6:K6"/>
    <mergeCell ref="L6:M6"/>
    <mergeCell ref="A7:F7"/>
    <mergeCell ref="G7:H7"/>
    <mergeCell ref="I7:K7"/>
    <mergeCell ref="L7:M7"/>
    <mergeCell ref="A10:F10"/>
    <mergeCell ref="G10:H10"/>
    <mergeCell ref="I10:K10"/>
    <mergeCell ref="L10:M10"/>
    <mergeCell ref="A11:M11"/>
    <mergeCell ref="A12:M12"/>
    <mergeCell ref="A13:M13"/>
    <mergeCell ref="A14:M14"/>
    <mergeCell ref="C16:E16"/>
    <mergeCell ref="F16:G16"/>
    <mergeCell ref="I16:K16"/>
    <mergeCell ref="C22:E22"/>
    <mergeCell ref="F22:G22"/>
    <mergeCell ref="I22:K22"/>
    <mergeCell ref="I74:K74"/>
    <mergeCell ref="C67:L67"/>
    <mergeCell ref="A69:M69"/>
    <mergeCell ref="C71:E71"/>
    <mergeCell ref="F71:G71"/>
    <mergeCell ref="I71:K71"/>
    <mergeCell ref="C72:E72"/>
    <mergeCell ref="F72:G72"/>
    <mergeCell ref="I72:K72"/>
    <mergeCell ref="M72:M74"/>
    <mergeCell ref="C70:L70"/>
    <mergeCell ref="C68:L68"/>
    <mergeCell ref="C73:E73"/>
    <mergeCell ref="A59:B67"/>
    <mergeCell ref="F73:G73"/>
    <mergeCell ref="I73:K73"/>
    <mergeCell ref="C74:E74"/>
    <mergeCell ref="F74:G74"/>
    <mergeCell ref="A140:M140"/>
    <mergeCell ref="C31:E31"/>
    <mergeCell ref="F31:G31"/>
    <mergeCell ref="I31:K31"/>
    <mergeCell ref="C32:E32"/>
    <mergeCell ref="F32:G32"/>
    <mergeCell ref="I32:K32"/>
    <mergeCell ref="C29:E29"/>
    <mergeCell ref="F29:G29"/>
    <mergeCell ref="I29:K29"/>
    <mergeCell ref="C30:E30"/>
    <mergeCell ref="F30:G30"/>
    <mergeCell ref="I30:K30"/>
    <mergeCell ref="C119:L119"/>
    <mergeCell ref="A86:B91"/>
    <mergeCell ref="A94:B100"/>
    <mergeCell ref="A101:B101"/>
    <mergeCell ref="A103:B109"/>
    <mergeCell ref="A110:B110"/>
    <mergeCell ref="A119:B119"/>
    <mergeCell ref="A121:B127"/>
    <mergeCell ref="A128:B128"/>
    <mergeCell ref="C76:L76"/>
    <mergeCell ref="A68:B68"/>
  </mergeCells>
  <dataValidations count="1">
    <dataValidation operator="lessThan" allowBlank="1" showInputMessage="1" showErrorMessage="1" sqref="M5:M105 D1:M4 D5:L120 A1:C1048576 D122:L1048576 M109:M1048576" xr:uid="{CC30F70E-1C5B-4793-A6DD-3F2FFABF7C48}"/>
  </dataValidations>
  <pageMargins left="0.7" right="0.7" top="0.75" bottom="0.75" header="0.3" footer="0.3"/>
  <pageSetup orientation="landscape"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331C9-8EBC-4929-B0FC-67645F1B8C6C}">
  <sheetPr>
    <outlinePr summaryBelow="0"/>
  </sheetPr>
  <dimension ref="A1:R146"/>
  <sheetViews>
    <sheetView workbookViewId="0">
      <selection activeCell="A139" sqref="A139"/>
    </sheetView>
  </sheetViews>
  <sheetFormatPr defaultRowHeight="12.95" outlineLevelRow="2"/>
  <cols>
    <col min="1" max="1" width="2" style="34" customWidth="1"/>
    <col min="2" max="2" width="12.6640625" style="34" customWidth="1"/>
    <col min="3" max="3" width="2.1640625" style="34" customWidth="1"/>
    <col min="4" max="4" width="3.33203125" style="34" customWidth="1"/>
    <col min="5" max="5" width="4.83203125" style="34" customWidth="1"/>
    <col min="6" max="6" width="12.83203125" style="34" customWidth="1"/>
    <col min="7" max="7" width="29.6640625" style="34" customWidth="1"/>
    <col min="8" max="8" width="9.6640625" style="34" customWidth="1"/>
    <col min="9" max="9" width="15.5" style="34" customWidth="1"/>
    <col min="10" max="10" width="3.83203125" style="34" customWidth="1"/>
    <col min="11" max="12" width="18" style="34" customWidth="1"/>
  </cols>
  <sheetData>
    <row r="1" spans="1:12" ht="18.600000000000001">
      <c r="A1" s="342" t="s">
        <v>394</v>
      </c>
      <c r="B1" s="343"/>
      <c r="C1" s="343"/>
      <c r="D1" s="343"/>
      <c r="E1" s="343"/>
      <c r="F1" s="343"/>
      <c r="G1" s="343"/>
      <c r="H1" s="343"/>
      <c r="I1" s="343"/>
      <c r="J1" s="343"/>
      <c r="K1" s="343"/>
      <c r="L1" s="344"/>
    </row>
    <row r="2" spans="1:12">
      <c r="A2" s="345" t="s">
        <v>395</v>
      </c>
      <c r="B2" s="346"/>
      <c r="C2" s="346"/>
      <c r="D2" s="346"/>
      <c r="E2" s="346"/>
      <c r="F2" s="347" t="str">
        <f>IF('11.17'!D2="","",'11.17'!D2)</f>
        <v>Program:</v>
      </c>
      <c r="G2" s="347"/>
      <c r="H2" s="348" t="s">
        <v>396</v>
      </c>
      <c r="I2" s="348"/>
      <c r="J2" s="349"/>
      <c r="K2" s="350" t="s">
        <v>469</v>
      </c>
      <c r="L2" s="351"/>
    </row>
    <row r="3" spans="1:12">
      <c r="A3" s="300" t="s">
        <v>97</v>
      </c>
      <c r="B3" s="301"/>
      <c r="C3" s="301"/>
      <c r="D3" s="301"/>
      <c r="E3" s="302"/>
      <c r="F3" s="303" t="str">
        <f>IF('11.17'!C6="","",'11.17'!C6)</f>
        <v/>
      </c>
      <c r="G3" s="303"/>
      <c r="H3" s="301" t="s">
        <v>99</v>
      </c>
      <c r="I3" s="301"/>
      <c r="J3" s="302"/>
      <c r="K3" s="352" t="str">
        <f>IF('11.17'!C7="","",'11.17'!C7)</f>
        <v/>
      </c>
      <c r="L3" s="353"/>
    </row>
    <row r="4" spans="1:12">
      <c r="A4" s="300" t="s">
        <v>398</v>
      </c>
      <c r="B4" s="301"/>
      <c r="C4" s="301"/>
      <c r="D4" s="301"/>
      <c r="E4" s="302"/>
      <c r="F4" s="303" t="str">
        <f>IF('11.17'!G6="SELECT FROM DROP DOWN","",'11.17'!G6)</f>
        <v/>
      </c>
      <c r="G4" s="303"/>
      <c r="H4" s="301" t="s">
        <v>100</v>
      </c>
      <c r="I4" s="301"/>
      <c r="J4" s="302"/>
      <c r="K4" s="303" t="str">
        <f>IF('11.17'!G7="","",'11.17'!G7)</f>
        <v/>
      </c>
      <c r="L4" s="304"/>
    </row>
    <row r="5" spans="1:12" ht="27.6" customHeight="1">
      <c r="A5" s="337" t="s">
        <v>96</v>
      </c>
      <c r="B5" s="338"/>
      <c r="C5" s="338"/>
      <c r="D5" s="338"/>
      <c r="E5" s="339"/>
      <c r="F5" s="340" t="str">
        <f>IF('11.17'!G7="SELECT FROM DROP DOWN","",'11.17'!G7)</f>
        <v/>
      </c>
      <c r="G5" s="340"/>
      <c r="H5" s="338" t="s">
        <v>399</v>
      </c>
      <c r="I5" s="338"/>
      <c r="J5" s="339"/>
      <c r="K5" s="340" t="str">
        <f>IF('11.17'!G8="","",'11.17'!G8)</f>
        <v/>
      </c>
      <c r="L5" s="341"/>
    </row>
    <row r="6" spans="1:12">
      <c r="A6" s="300" t="s">
        <v>88</v>
      </c>
      <c r="B6" s="301"/>
      <c r="C6" s="301"/>
      <c r="D6" s="301"/>
      <c r="E6" s="302"/>
      <c r="F6" s="303" t="str">
        <f>IF('11.17'!C2="","",'11.17'!C2)</f>
        <v/>
      </c>
      <c r="G6" s="303"/>
      <c r="H6" s="301" t="s">
        <v>92</v>
      </c>
      <c r="I6" s="301"/>
      <c r="J6" s="302"/>
      <c r="K6" s="303" t="str">
        <f>IF('11.17'!C4="","",'11.17'!C4)</f>
        <v/>
      </c>
      <c r="L6" s="304"/>
    </row>
    <row r="7" spans="1:12" ht="28.5" customHeight="1" thickBot="1">
      <c r="A7" s="305" t="s">
        <v>400</v>
      </c>
      <c r="B7" s="306"/>
      <c r="C7" s="306"/>
      <c r="D7" s="306"/>
      <c r="E7" s="306"/>
      <c r="F7" s="307">
        <f>'CO1'!M131</f>
        <v>0</v>
      </c>
      <c r="G7" s="307"/>
      <c r="H7" s="308" t="s">
        <v>401</v>
      </c>
      <c r="I7" s="309"/>
      <c r="J7" s="309"/>
      <c r="K7" s="310"/>
      <c r="L7" s="311"/>
    </row>
    <row r="8" spans="1:12" ht="15" collapsed="1" thickBot="1">
      <c r="A8" s="330" t="s">
        <v>402</v>
      </c>
      <c r="B8" s="331"/>
      <c r="C8" s="331"/>
      <c r="D8" s="331"/>
      <c r="E8" s="331"/>
      <c r="F8" s="331"/>
      <c r="G8" s="331"/>
      <c r="H8" s="331"/>
      <c r="I8" s="331"/>
      <c r="J8" s="331"/>
      <c r="K8" s="331"/>
      <c r="L8" s="332"/>
    </row>
    <row r="9" spans="1:12" ht="28.5" hidden="1" customHeight="1" outlineLevel="1">
      <c r="A9" s="333" t="s">
        <v>403</v>
      </c>
      <c r="B9" s="334"/>
      <c r="C9" s="334"/>
      <c r="D9" s="334"/>
      <c r="E9" s="334"/>
      <c r="F9" s="335"/>
      <c r="G9" s="335"/>
      <c r="H9" s="334" t="s">
        <v>404</v>
      </c>
      <c r="I9" s="334"/>
      <c r="J9" s="334"/>
      <c r="K9" s="335"/>
      <c r="L9" s="336"/>
    </row>
    <row r="10" spans="1:12" ht="26.25" hidden="1" customHeight="1" outlineLevel="1">
      <c r="A10" s="312" t="s">
        <v>405</v>
      </c>
      <c r="B10" s="313"/>
      <c r="C10" s="313"/>
      <c r="D10" s="313"/>
      <c r="E10" s="314"/>
      <c r="F10" s="315"/>
      <c r="G10" s="315"/>
      <c r="H10" s="316" t="s">
        <v>406</v>
      </c>
      <c r="I10" s="316"/>
      <c r="J10" s="316"/>
      <c r="K10" s="315"/>
      <c r="L10" s="317"/>
    </row>
    <row r="11" spans="1:12" ht="17.25" hidden="1" customHeight="1" outlineLevel="1">
      <c r="A11" s="318" t="s">
        <v>407</v>
      </c>
      <c r="B11" s="316"/>
      <c r="C11" s="316"/>
      <c r="D11" s="316"/>
      <c r="E11" s="316"/>
      <c r="F11" s="316"/>
      <c r="G11" s="316"/>
      <c r="H11" s="316"/>
      <c r="I11" s="316"/>
      <c r="J11" s="316"/>
      <c r="K11" s="316"/>
      <c r="L11" s="319"/>
    </row>
    <row r="12" spans="1:12" ht="42" hidden="1" customHeight="1" outlineLevel="1" thickBot="1">
      <c r="A12" s="320"/>
      <c r="B12" s="321"/>
      <c r="C12" s="321"/>
      <c r="D12" s="321"/>
      <c r="E12" s="321"/>
      <c r="F12" s="321"/>
      <c r="G12" s="321"/>
      <c r="H12" s="321"/>
      <c r="I12" s="321"/>
      <c r="J12" s="321"/>
      <c r="K12" s="321"/>
      <c r="L12" s="322"/>
    </row>
    <row r="13" spans="1:12" ht="15" collapsed="1" thickBot="1">
      <c r="A13" s="323" t="s">
        <v>408</v>
      </c>
      <c r="B13" s="324"/>
      <c r="C13" s="324"/>
      <c r="D13" s="324"/>
      <c r="E13" s="324"/>
      <c r="F13" s="324"/>
      <c r="G13" s="324"/>
      <c r="H13" s="324"/>
      <c r="I13" s="324"/>
      <c r="J13" s="324"/>
      <c r="K13" s="324"/>
      <c r="L13" s="325"/>
    </row>
    <row r="14" spans="1:12" hidden="1" outlineLevel="1" collapsed="1">
      <c r="A14" s="326" t="s">
        <v>409</v>
      </c>
      <c r="B14" s="326"/>
      <c r="C14" s="326"/>
      <c r="D14" s="326"/>
      <c r="E14" s="326"/>
      <c r="F14" s="326"/>
      <c r="G14" s="326"/>
      <c r="H14" s="326"/>
      <c r="I14" s="326"/>
      <c r="J14" s="326"/>
      <c r="K14" s="326"/>
      <c r="L14" s="326"/>
    </row>
    <row r="15" spans="1:12" hidden="1" outlineLevel="2">
      <c r="A15" s="285" t="s">
        <v>103</v>
      </c>
      <c r="B15" s="284" t="s">
        <v>410</v>
      </c>
      <c r="C15" s="284"/>
      <c r="D15" s="284"/>
      <c r="E15" s="284"/>
      <c r="F15" s="284"/>
      <c r="G15" s="284"/>
      <c r="H15" s="284"/>
      <c r="I15" s="284"/>
      <c r="J15" s="284"/>
      <c r="K15" s="284"/>
      <c r="L15" s="108">
        <f>'CO1'!M19</f>
        <v>0</v>
      </c>
    </row>
    <row r="16" spans="1:12" ht="39" hidden="1" outlineLevel="2">
      <c r="A16" s="287"/>
      <c r="B16" s="327" t="s">
        <v>411</v>
      </c>
      <c r="C16" s="328"/>
      <c r="D16" s="329"/>
      <c r="E16" s="327" t="s">
        <v>412</v>
      </c>
      <c r="F16" s="329"/>
      <c r="G16" s="191" t="s">
        <v>413</v>
      </c>
      <c r="H16" s="327" t="s">
        <v>414</v>
      </c>
      <c r="I16" s="328"/>
      <c r="J16" s="329"/>
      <c r="K16" s="191" t="s">
        <v>415</v>
      </c>
      <c r="L16" s="191" t="s">
        <v>109</v>
      </c>
    </row>
    <row r="17" spans="1:12" hidden="1" outlineLevel="2">
      <c r="A17" s="287"/>
      <c r="B17" s="362">
        <f>'CO1'!M19</f>
        <v>0</v>
      </c>
      <c r="C17" s="363"/>
      <c r="D17" s="364"/>
      <c r="E17" s="365"/>
      <c r="F17" s="366"/>
      <c r="G17" s="111"/>
      <c r="H17" s="357"/>
      <c r="I17" s="358"/>
      <c r="J17" s="359"/>
      <c r="K17" s="107">
        <f>IF(E17="",0,E17-B17)</f>
        <v>0</v>
      </c>
      <c r="L17" s="193"/>
    </row>
    <row r="18" spans="1:12" hidden="1" outlineLevel="1" collapsed="1">
      <c r="A18" s="289"/>
      <c r="B18" s="284" t="s">
        <v>416</v>
      </c>
      <c r="C18" s="284"/>
      <c r="D18" s="284"/>
      <c r="E18" s="284"/>
      <c r="F18" s="284"/>
      <c r="G18" s="284"/>
      <c r="H18" s="284"/>
      <c r="I18" s="284"/>
      <c r="J18" s="284"/>
      <c r="K18" s="284"/>
      <c r="L18" s="108">
        <f>K17</f>
        <v>0</v>
      </c>
    </row>
    <row r="19" spans="1:12" hidden="1" outlineLevel="1">
      <c r="A19" s="193"/>
      <c r="B19" s="284" t="s">
        <v>417</v>
      </c>
      <c r="C19" s="284"/>
      <c r="D19" s="284"/>
      <c r="E19" s="284"/>
      <c r="F19" s="284"/>
      <c r="G19" s="284"/>
      <c r="H19" s="284"/>
      <c r="I19" s="284"/>
      <c r="J19" s="284"/>
      <c r="K19" s="284"/>
      <c r="L19" s="108">
        <f>L15+L18</f>
        <v>0</v>
      </c>
    </row>
    <row r="20" spans="1:12" hidden="1" outlineLevel="1" collapsed="1">
      <c r="A20" s="361" t="s">
        <v>418</v>
      </c>
      <c r="B20" s="361"/>
      <c r="C20" s="361"/>
      <c r="D20" s="361"/>
      <c r="E20" s="361"/>
      <c r="F20" s="361"/>
      <c r="G20" s="361"/>
      <c r="H20" s="361"/>
      <c r="I20" s="361"/>
      <c r="J20" s="361"/>
      <c r="K20" s="361"/>
      <c r="L20" s="361"/>
    </row>
    <row r="21" spans="1:12" hidden="1" outlineLevel="2">
      <c r="A21" s="285" t="s">
        <v>103</v>
      </c>
      <c r="B21" s="284" t="s">
        <v>419</v>
      </c>
      <c r="C21" s="284"/>
      <c r="D21" s="284"/>
      <c r="E21" s="284"/>
      <c r="F21" s="284"/>
      <c r="G21" s="284"/>
      <c r="H21" s="284"/>
      <c r="I21" s="284"/>
      <c r="J21" s="284"/>
      <c r="K21" s="284"/>
      <c r="L21" s="108">
        <f>'CO1'!M25</f>
        <v>0</v>
      </c>
    </row>
    <row r="22" spans="1:12" ht="39" hidden="1" outlineLevel="2">
      <c r="A22" s="287"/>
      <c r="B22" s="296" t="s">
        <v>411</v>
      </c>
      <c r="C22" s="296"/>
      <c r="D22" s="296"/>
      <c r="E22" s="296" t="s">
        <v>412</v>
      </c>
      <c r="F22" s="296"/>
      <c r="G22" s="191" t="s">
        <v>413</v>
      </c>
      <c r="H22" s="296" t="s">
        <v>414</v>
      </c>
      <c r="I22" s="296"/>
      <c r="J22" s="296"/>
      <c r="K22" s="191" t="s">
        <v>415</v>
      </c>
      <c r="L22" s="191" t="s">
        <v>109</v>
      </c>
    </row>
    <row r="23" spans="1:12" hidden="1" outlineLevel="2">
      <c r="A23" s="287"/>
      <c r="B23" s="354">
        <f>'CO1'!M25</f>
        <v>0</v>
      </c>
      <c r="C23" s="355"/>
      <c r="D23" s="355"/>
      <c r="E23" s="356"/>
      <c r="F23" s="356"/>
      <c r="G23" s="32"/>
      <c r="H23" s="356"/>
      <c r="I23" s="356"/>
      <c r="J23" s="356"/>
      <c r="K23" s="107">
        <f>IF(E23="",0,E23-B23)</f>
        <v>0</v>
      </c>
      <c r="L23" s="74"/>
    </row>
    <row r="24" spans="1:12" hidden="1" outlineLevel="1" collapsed="1">
      <c r="A24" s="289"/>
      <c r="B24" s="284" t="s">
        <v>420</v>
      </c>
      <c r="C24" s="284"/>
      <c r="D24" s="284"/>
      <c r="E24" s="284"/>
      <c r="F24" s="284"/>
      <c r="G24" s="284"/>
      <c r="H24" s="284"/>
      <c r="I24" s="284"/>
      <c r="J24" s="284"/>
      <c r="K24" s="284"/>
      <c r="L24" s="108">
        <f>K23</f>
        <v>0</v>
      </c>
    </row>
    <row r="25" spans="1:12" hidden="1" outlineLevel="1">
      <c r="A25" s="193"/>
      <c r="B25" s="284" t="s">
        <v>421</v>
      </c>
      <c r="C25" s="284"/>
      <c r="D25" s="284"/>
      <c r="E25" s="284"/>
      <c r="F25" s="284"/>
      <c r="G25" s="284"/>
      <c r="H25" s="284"/>
      <c r="I25" s="284"/>
      <c r="J25" s="284"/>
      <c r="K25" s="284"/>
      <c r="L25" s="108">
        <f>L21+L24</f>
        <v>0</v>
      </c>
    </row>
    <row r="26" spans="1:12" hidden="1" outlineLevel="1" collapsed="1">
      <c r="A26" s="295" t="s">
        <v>118</v>
      </c>
      <c r="B26" s="295"/>
      <c r="C26" s="295"/>
      <c r="D26" s="295"/>
      <c r="E26" s="295"/>
      <c r="F26" s="295"/>
      <c r="G26" s="295"/>
      <c r="H26" s="295"/>
      <c r="I26" s="295"/>
      <c r="J26" s="295"/>
      <c r="K26" s="295"/>
      <c r="L26" s="295"/>
    </row>
    <row r="27" spans="1:12" hidden="1" outlineLevel="2">
      <c r="A27" s="367" t="s">
        <v>119</v>
      </c>
      <c r="B27" s="284" t="s">
        <v>422</v>
      </c>
      <c r="C27" s="284"/>
      <c r="D27" s="284"/>
      <c r="E27" s="284"/>
      <c r="F27" s="284"/>
      <c r="G27" s="284"/>
      <c r="H27" s="284"/>
      <c r="I27" s="284"/>
      <c r="J27" s="284"/>
      <c r="K27" s="284"/>
      <c r="L27" s="108">
        <f>'CO1'!M37</f>
        <v>0</v>
      </c>
    </row>
    <row r="28" spans="1:12" ht="39" hidden="1" outlineLevel="2">
      <c r="A28" s="369"/>
      <c r="B28" s="296" t="s">
        <v>470</v>
      </c>
      <c r="C28" s="296"/>
      <c r="D28" s="296"/>
      <c r="E28" s="296" t="s">
        <v>412</v>
      </c>
      <c r="F28" s="296"/>
      <c r="G28" s="191" t="s">
        <v>424</v>
      </c>
      <c r="H28" s="278" t="s">
        <v>414</v>
      </c>
      <c r="I28" s="278"/>
      <c r="J28" s="278"/>
      <c r="K28" s="191" t="s">
        <v>415</v>
      </c>
      <c r="L28" s="84" t="s">
        <v>109</v>
      </c>
    </row>
    <row r="29" spans="1:12" hidden="1" outlineLevel="2">
      <c r="A29" s="369"/>
      <c r="B29" s="281"/>
      <c r="C29" s="281"/>
      <c r="D29" s="281"/>
      <c r="E29" s="281"/>
      <c r="F29" s="281"/>
      <c r="G29" s="189"/>
      <c r="H29" s="282"/>
      <c r="I29" s="282"/>
      <c r="J29" s="282"/>
      <c r="K29" s="107">
        <f t="shared" ref="K29:K34" si="0">E29-B29</f>
        <v>0</v>
      </c>
      <c r="L29" s="373"/>
    </row>
    <row r="30" spans="1:12" hidden="1" outlineLevel="2">
      <c r="A30" s="369"/>
      <c r="B30" s="281"/>
      <c r="C30" s="281"/>
      <c r="D30" s="281"/>
      <c r="E30" s="281"/>
      <c r="F30" s="281"/>
      <c r="G30" s="189"/>
      <c r="H30" s="283"/>
      <c r="I30" s="283"/>
      <c r="J30" s="283"/>
      <c r="K30" s="107">
        <f t="shared" si="0"/>
        <v>0</v>
      </c>
      <c r="L30" s="374"/>
    </row>
    <row r="31" spans="1:12" hidden="1" outlineLevel="2">
      <c r="A31" s="369"/>
      <c r="B31" s="281"/>
      <c r="C31" s="281"/>
      <c r="D31" s="281"/>
      <c r="E31" s="281"/>
      <c r="F31" s="281"/>
      <c r="G31" s="189"/>
      <c r="H31" s="282"/>
      <c r="I31" s="282"/>
      <c r="J31" s="282"/>
      <c r="K31" s="107">
        <f t="shared" si="0"/>
        <v>0</v>
      </c>
      <c r="L31" s="374"/>
    </row>
    <row r="32" spans="1:12" hidden="1" outlineLevel="2">
      <c r="A32" s="369"/>
      <c r="B32" s="281"/>
      <c r="C32" s="281"/>
      <c r="D32" s="281"/>
      <c r="E32" s="281"/>
      <c r="F32" s="281"/>
      <c r="G32" s="189"/>
      <c r="H32" s="283"/>
      <c r="I32" s="283"/>
      <c r="J32" s="283"/>
      <c r="K32" s="107">
        <f t="shared" si="0"/>
        <v>0</v>
      </c>
      <c r="L32" s="374"/>
    </row>
    <row r="33" spans="1:12" hidden="1" outlineLevel="2">
      <c r="A33" s="369"/>
      <c r="B33" s="281"/>
      <c r="C33" s="281"/>
      <c r="D33" s="281"/>
      <c r="E33" s="281"/>
      <c r="F33" s="281"/>
      <c r="G33" s="189"/>
      <c r="H33" s="282"/>
      <c r="I33" s="282"/>
      <c r="J33" s="282"/>
      <c r="K33" s="107">
        <f t="shared" si="0"/>
        <v>0</v>
      </c>
      <c r="L33" s="374"/>
    </row>
    <row r="34" spans="1:12" hidden="1" outlineLevel="2">
      <c r="A34" s="369"/>
      <c r="B34" s="281"/>
      <c r="C34" s="281"/>
      <c r="D34" s="281"/>
      <c r="E34" s="281"/>
      <c r="F34" s="281"/>
      <c r="G34" s="189"/>
      <c r="H34" s="283"/>
      <c r="I34" s="283"/>
      <c r="J34" s="283"/>
      <c r="K34" s="107">
        <f t="shared" si="0"/>
        <v>0</v>
      </c>
      <c r="L34" s="374"/>
    </row>
    <row r="35" spans="1:12" hidden="1" outlineLevel="2">
      <c r="A35" s="369"/>
      <c r="B35" s="376" t="s">
        <v>425</v>
      </c>
      <c r="C35" s="376"/>
      <c r="D35" s="376"/>
      <c r="E35" s="377"/>
      <c r="F35" s="377"/>
      <c r="G35" s="377"/>
      <c r="H35" s="377"/>
      <c r="I35" s="377"/>
      <c r="J35" s="377"/>
      <c r="K35" s="377"/>
      <c r="L35" s="375"/>
    </row>
    <row r="36" spans="1:12" hidden="1" outlineLevel="1" collapsed="1">
      <c r="A36" s="371"/>
      <c r="B36" s="284" t="s">
        <v>426</v>
      </c>
      <c r="C36" s="284"/>
      <c r="D36" s="284"/>
      <c r="E36" s="284"/>
      <c r="F36" s="284"/>
      <c r="G36" s="284"/>
      <c r="H36" s="284"/>
      <c r="I36" s="284"/>
      <c r="J36" s="284"/>
      <c r="K36" s="284"/>
      <c r="L36" s="108">
        <f>SUM(K29:K34)</f>
        <v>0</v>
      </c>
    </row>
    <row r="37" spans="1:12" hidden="1" outlineLevel="1">
      <c r="A37" s="195"/>
      <c r="B37" s="284" t="s">
        <v>427</v>
      </c>
      <c r="C37" s="284"/>
      <c r="D37" s="284"/>
      <c r="E37" s="284"/>
      <c r="F37" s="284"/>
      <c r="G37" s="284"/>
      <c r="H37" s="284"/>
      <c r="I37" s="284"/>
      <c r="J37" s="284"/>
      <c r="K37" s="284"/>
      <c r="L37" s="108">
        <f>L27+L36</f>
        <v>0</v>
      </c>
    </row>
    <row r="38" spans="1:12" hidden="1" outlineLevel="1" collapsed="1">
      <c r="A38" s="295" t="s">
        <v>127</v>
      </c>
      <c r="B38" s="295"/>
      <c r="C38" s="295"/>
      <c r="D38" s="295"/>
      <c r="E38" s="295"/>
      <c r="F38" s="295"/>
      <c r="G38" s="295"/>
      <c r="H38" s="295"/>
      <c r="I38" s="295"/>
      <c r="J38" s="295"/>
      <c r="K38" s="295"/>
      <c r="L38" s="295"/>
    </row>
    <row r="39" spans="1:12" hidden="1" outlineLevel="2">
      <c r="A39" s="380" t="s">
        <v>103</v>
      </c>
      <c r="B39" s="284" t="s">
        <v>428</v>
      </c>
      <c r="C39" s="284"/>
      <c r="D39" s="284"/>
      <c r="E39" s="284"/>
      <c r="F39" s="284"/>
      <c r="G39" s="284"/>
      <c r="H39" s="284"/>
      <c r="I39" s="284"/>
      <c r="J39" s="284"/>
      <c r="K39" s="284"/>
      <c r="L39" s="108">
        <f>'CO1'!M47</f>
        <v>0</v>
      </c>
    </row>
    <row r="40" spans="1:12" ht="38.25" hidden="1" customHeight="1" outlineLevel="2">
      <c r="A40" s="382"/>
      <c r="B40" s="296" t="s">
        <v>470</v>
      </c>
      <c r="C40" s="296"/>
      <c r="D40" s="296"/>
      <c r="E40" s="296" t="s">
        <v>412</v>
      </c>
      <c r="F40" s="296"/>
      <c r="G40" s="191" t="s">
        <v>413</v>
      </c>
      <c r="H40" s="296" t="s">
        <v>414</v>
      </c>
      <c r="I40" s="296"/>
      <c r="J40" s="296"/>
      <c r="K40" s="191" t="s">
        <v>415</v>
      </c>
      <c r="L40" s="84" t="s">
        <v>109</v>
      </c>
    </row>
    <row r="41" spans="1:12" hidden="1" outlineLevel="2">
      <c r="A41" s="382"/>
      <c r="B41" s="297"/>
      <c r="C41" s="297"/>
      <c r="D41" s="297"/>
      <c r="E41" s="297"/>
      <c r="F41" s="297"/>
      <c r="G41" s="189"/>
      <c r="H41" s="378"/>
      <c r="I41" s="378"/>
      <c r="J41" s="378"/>
      <c r="K41" s="107">
        <f>E41-B41</f>
        <v>0</v>
      </c>
      <c r="L41" s="379"/>
    </row>
    <row r="42" spans="1:12" hidden="1" outlineLevel="2">
      <c r="A42" s="382"/>
      <c r="B42" s="297"/>
      <c r="C42" s="297"/>
      <c r="D42" s="297"/>
      <c r="E42" s="297"/>
      <c r="F42" s="297"/>
      <c r="G42" s="189"/>
      <c r="H42" s="378"/>
      <c r="I42" s="378"/>
      <c r="J42" s="378"/>
      <c r="K42" s="107">
        <f>E42-B42</f>
        <v>0</v>
      </c>
      <c r="L42" s="379"/>
    </row>
    <row r="43" spans="1:12" hidden="1" outlineLevel="2">
      <c r="A43" s="382"/>
      <c r="B43" s="297"/>
      <c r="C43" s="297"/>
      <c r="D43" s="297"/>
      <c r="E43" s="297"/>
      <c r="F43" s="297"/>
      <c r="G43" s="189"/>
      <c r="H43" s="283"/>
      <c r="I43" s="283"/>
      <c r="J43" s="283"/>
      <c r="K43" s="107">
        <f>E43-B43</f>
        <v>0</v>
      </c>
      <c r="L43" s="379"/>
    </row>
    <row r="44" spans="1:12" hidden="1" outlineLevel="2">
      <c r="A44" s="382"/>
      <c r="B44" s="297"/>
      <c r="C44" s="297"/>
      <c r="D44" s="297"/>
      <c r="E44" s="297"/>
      <c r="F44" s="297"/>
      <c r="G44" s="189"/>
      <c r="H44" s="283"/>
      <c r="I44" s="283"/>
      <c r="J44" s="283"/>
      <c r="K44" s="107">
        <f>E44-B44</f>
        <v>0</v>
      </c>
      <c r="L44" s="379"/>
    </row>
    <row r="45" spans="1:12" hidden="1" outlineLevel="2">
      <c r="A45" s="382"/>
      <c r="B45" s="376" t="s">
        <v>425</v>
      </c>
      <c r="C45" s="376"/>
      <c r="D45" s="376"/>
      <c r="E45" s="377"/>
      <c r="F45" s="377"/>
      <c r="G45" s="377"/>
      <c r="H45" s="377"/>
      <c r="I45" s="377"/>
      <c r="J45" s="377"/>
      <c r="K45" s="377"/>
      <c r="L45" s="379"/>
    </row>
    <row r="46" spans="1:12" hidden="1" outlineLevel="1" collapsed="1">
      <c r="A46" s="384"/>
      <c r="B46" s="284" t="s">
        <v>429</v>
      </c>
      <c r="C46" s="284"/>
      <c r="D46" s="284"/>
      <c r="E46" s="284"/>
      <c r="F46" s="284"/>
      <c r="G46" s="284"/>
      <c r="H46" s="284"/>
      <c r="I46" s="284"/>
      <c r="J46" s="284"/>
      <c r="K46" s="284"/>
      <c r="L46" s="108">
        <f>SUM(K41:K44)</f>
        <v>0</v>
      </c>
    </row>
    <row r="47" spans="1:12" hidden="1" outlineLevel="1">
      <c r="A47" s="198"/>
      <c r="B47" s="284" t="s">
        <v>430</v>
      </c>
      <c r="C47" s="284"/>
      <c r="D47" s="284"/>
      <c r="E47" s="284"/>
      <c r="F47" s="284"/>
      <c r="G47" s="284"/>
      <c r="H47" s="284"/>
      <c r="I47" s="284"/>
      <c r="J47" s="284"/>
      <c r="K47" s="284"/>
      <c r="L47" s="108">
        <f>L39+L46</f>
        <v>0</v>
      </c>
    </row>
    <row r="48" spans="1:12" hidden="1" outlineLevel="1" collapsed="1">
      <c r="A48" s="295" t="s">
        <v>134</v>
      </c>
      <c r="B48" s="295"/>
      <c r="C48" s="295"/>
      <c r="D48" s="295"/>
      <c r="E48" s="295"/>
      <c r="F48" s="295"/>
      <c r="G48" s="295"/>
      <c r="H48" s="295"/>
      <c r="I48" s="295"/>
      <c r="J48" s="295"/>
      <c r="K48" s="295"/>
      <c r="L48" s="295"/>
    </row>
    <row r="49" spans="1:12" hidden="1" outlineLevel="2">
      <c r="A49" s="367" t="s">
        <v>135</v>
      </c>
      <c r="B49" s="284" t="s">
        <v>431</v>
      </c>
      <c r="C49" s="284"/>
      <c r="D49" s="284"/>
      <c r="E49" s="284"/>
      <c r="F49" s="284"/>
      <c r="G49" s="284"/>
      <c r="H49" s="284"/>
      <c r="I49" s="284"/>
      <c r="J49" s="284"/>
      <c r="K49" s="284"/>
      <c r="L49" s="108">
        <f>'CO1'!M57</f>
        <v>0</v>
      </c>
    </row>
    <row r="50" spans="1:12" ht="38.25" hidden="1" customHeight="1" outlineLevel="2">
      <c r="A50" s="369"/>
      <c r="B50" s="296" t="s">
        <v>470</v>
      </c>
      <c r="C50" s="296"/>
      <c r="D50" s="296"/>
      <c r="E50" s="296" t="s">
        <v>412</v>
      </c>
      <c r="F50" s="296"/>
      <c r="G50" s="191" t="s">
        <v>424</v>
      </c>
      <c r="H50" s="296" t="s">
        <v>414</v>
      </c>
      <c r="I50" s="296"/>
      <c r="J50" s="296"/>
      <c r="K50" s="191" t="s">
        <v>415</v>
      </c>
      <c r="L50" s="84" t="s">
        <v>109</v>
      </c>
    </row>
    <row r="51" spans="1:12" hidden="1" outlineLevel="2">
      <c r="A51" s="369"/>
      <c r="B51" s="297"/>
      <c r="C51" s="297"/>
      <c r="D51" s="297"/>
      <c r="E51" s="297"/>
      <c r="F51" s="297"/>
      <c r="G51" s="112"/>
      <c r="H51" s="387"/>
      <c r="I51" s="387"/>
      <c r="J51" s="387"/>
      <c r="K51" s="107">
        <f>E51-B51</f>
        <v>0</v>
      </c>
      <c r="L51" s="388"/>
    </row>
    <row r="52" spans="1:12" hidden="1" outlineLevel="2">
      <c r="A52" s="369"/>
      <c r="B52" s="297"/>
      <c r="C52" s="297"/>
      <c r="D52" s="297"/>
      <c r="E52" s="297"/>
      <c r="F52" s="297"/>
      <c r="G52" s="112"/>
      <c r="H52" s="389"/>
      <c r="I52" s="389"/>
      <c r="J52" s="389"/>
      <c r="K52" s="107">
        <f>E52-B52</f>
        <v>0</v>
      </c>
      <c r="L52" s="388"/>
    </row>
    <row r="53" spans="1:12" hidden="1" outlineLevel="2">
      <c r="A53" s="369"/>
      <c r="B53" s="297"/>
      <c r="C53" s="297"/>
      <c r="D53" s="297"/>
      <c r="E53" s="297"/>
      <c r="F53" s="297"/>
      <c r="G53" s="33"/>
      <c r="H53" s="387"/>
      <c r="I53" s="387"/>
      <c r="J53" s="387"/>
      <c r="K53" s="107">
        <f>E53-B53</f>
        <v>0</v>
      </c>
      <c r="L53" s="388"/>
    </row>
    <row r="54" spans="1:12" hidden="1" outlineLevel="2">
      <c r="A54" s="369"/>
      <c r="B54" s="297"/>
      <c r="C54" s="297"/>
      <c r="D54" s="297"/>
      <c r="E54" s="297"/>
      <c r="F54" s="297"/>
      <c r="G54" s="33"/>
      <c r="H54" s="390"/>
      <c r="I54" s="390"/>
      <c r="J54" s="390"/>
      <c r="K54" s="107">
        <f>E54-B54</f>
        <v>0</v>
      </c>
      <c r="L54" s="388"/>
    </row>
    <row r="55" spans="1:12" hidden="1" outlineLevel="2">
      <c r="A55" s="369"/>
      <c r="B55" s="376" t="s">
        <v>425</v>
      </c>
      <c r="C55" s="376"/>
      <c r="D55" s="376"/>
      <c r="E55" s="377"/>
      <c r="F55" s="377"/>
      <c r="G55" s="377"/>
      <c r="H55" s="377"/>
      <c r="I55" s="377"/>
      <c r="J55" s="377"/>
      <c r="K55" s="377"/>
      <c r="L55" s="388"/>
    </row>
    <row r="56" spans="1:12" hidden="1" outlineLevel="1" collapsed="1">
      <c r="A56" s="371"/>
      <c r="B56" s="284" t="s">
        <v>432</v>
      </c>
      <c r="C56" s="284"/>
      <c r="D56" s="284"/>
      <c r="E56" s="284"/>
      <c r="F56" s="284"/>
      <c r="G56" s="284"/>
      <c r="H56" s="284"/>
      <c r="I56" s="284"/>
      <c r="J56" s="284"/>
      <c r="K56" s="284"/>
      <c r="L56" s="108">
        <f>SUM(K51:K54)</f>
        <v>0</v>
      </c>
    </row>
    <row r="57" spans="1:12" hidden="1" outlineLevel="1">
      <c r="A57" s="195"/>
      <c r="B57" s="284" t="s">
        <v>433</v>
      </c>
      <c r="C57" s="284"/>
      <c r="D57" s="284"/>
      <c r="E57" s="284"/>
      <c r="F57" s="284"/>
      <c r="G57" s="284"/>
      <c r="H57" s="284"/>
      <c r="I57" s="284"/>
      <c r="J57" s="284"/>
      <c r="K57" s="284"/>
      <c r="L57" s="108">
        <f>L49+L56</f>
        <v>0</v>
      </c>
    </row>
    <row r="58" spans="1:12" hidden="1" outlineLevel="1" collapsed="1">
      <c r="A58" s="295" t="s">
        <v>139</v>
      </c>
      <c r="B58" s="295"/>
      <c r="C58" s="295"/>
      <c r="D58" s="295"/>
      <c r="E58" s="295"/>
      <c r="F58" s="295"/>
      <c r="G58" s="295"/>
      <c r="H58" s="295"/>
      <c r="I58" s="295"/>
      <c r="J58" s="295"/>
      <c r="K58" s="295"/>
      <c r="L58" s="295"/>
    </row>
    <row r="59" spans="1:12" hidden="1" outlineLevel="2">
      <c r="A59" s="285" t="s">
        <v>103</v>
      </c>
      <c r="B59" s="284" t="s">
        <v>434</v>
      </c>
      <c r="C59" s="284"/>
      <c r="D59" s="284"/>
      <c r="E59" s="284"/>
      <c r="F59" s="284"/>
      <c r="G59" s="284"/>
      <c r="H59" s="284"/>
      <c r="I59" s="284"/>
      <c r="J59" s="284"/>
      <c r="K59" s="284"/>
      <c r="L59" s="108">
        <f>'CO1'!M68</f>
        <v>0</v>
      </c>
    </row>
    <row r="60" spans="1:12" ht="38.25" hidden="1" customHeight="1" outlineLevel="2">
      <c r="A60" s="287"/>
      <c r="B60" s="296" t="s">
        <v>470</v>
      </c>
      <c r="C60" s="296"/>
      <c r="D60" s="296"/>
      <c r="E60" s="296" t="s">
        <v>412</v>
      </c>
      <c r="F60" s="296"/>
      <c r="G60" s="191" t="s">
        <v>424</v>
      </c>
      <c r="H60" s="296" t="s">
        <v>414</v>
      </c>
      <c r="I60" s="296"/>
      <c r="J60" s="296"/>
      <c r="K60" s="191" t="s">
        <v>415</v>
      </c>
      <c r="L60" s="84" t="s">
        <v>109</v>
      </c>
    </row>
    <row r="61" spans="1:12" hidden="1" outlineLevel="2">
      <c r="A61" s="287"/>
      <c r="B61" s="297"/>
      <c r="C61" s="297"/>
      <c r="D61" s="297"/>
      <c r="E61" s="297"/>
      <c r="F61" s="297"/>
      <c r="G61" s="189"/>
      <c r="H61" s="294"/>
      <c r="I61" s="294"/>
      <c r="J61" s="294"/>
      <c r="K61" s="107">
        <f>E61-B61</f>
        <v>0</v>
      </c>
      <c r="L61" s="392"/>
    </row>
    <row r="62" spans="1:12" hidden="1" outlineLevel="2">
      <c r="A62" s="287"/>
      <c r="B62" s="297"/>
      <c r="C62" s="297"/>
      <c r="D62" s="297"/>
      <c r="E62" s="297"/>
      <c r="F62" s="297"/>
      <c r="G62" s="189"/>
      <c r="H62" s="391"/>
      <c r="I62" s="391"/>
      <c r="J62" s="391"/>
      <c r="K62" s="107">
        <f>E62-B62</f>
        <v>0</v>
      </c>
      <c r="L62" s="392"/>
    </row>
    <row r="63" spans="1:12" hidden="1" outlineLevel="2">
      <c r="A63" s="287"/>
      <c r="B63" s="297"/>
      <c r="C63" s="297"/>
      <c r="D63" s="297"/>
      <c r="E63" s="297"/>
      <c r="F63" s="297"/>
      <c r="G63" s="189"/>
      <c r="H63" s="391"/>
      <c r="I63" s="391"/>
      <c r="J63" s="391"/>
      <c r="K63" s="107">
        <f>E63-B63</f>
        <v>0</v>
      </c>
      <c r="L63" s="392"/>
    </row>
    <row r="64" spans="1:12" hidden="1" outlineLevel="2">
      <c r="A64" s="287"/>
      <c r="B64" s="297"/>
      <c r="C64" s="297"/>
      <c r="D64" s="297"/>
      <c r="E64" s="297"/>
      <c r="F64" s="297"/>
      <c r="G64" s="189"/>
      <c r="H64" s="391"/>
      <c r="I64" s="391"/>
      <c r="J64" s="391"/>
      <c r="K64" s="107">
        <f>E64-B64</f>
        <v>0</v>
      </c>
      <c r="L64" s="392"/>
    </row>
    <row r="65" spans="1:12" hidden="1" outlineLevel="2">
      <c r="A65" s="287"/>
      <c r="B65" s="297"/>
      <c r="C65" s="297"/>
      <c r="D65" s="297"/>
      <c r="E65" s="297"/>
      <c r="F65" s="297"/>
      <c r="G65" s="189"/>
      <c r="H65" s="294"/>
      <c r="I65" s="294"/>
      <c r="J65" s="294"/>
      <c r="K65" s="107">
        <f>E65-B65</f>
        <v>0</v>
      </c>
      <c r="L65" s="392"/>
    </row>
    <row r="66" spans="1:12" hidden="1" outlineLevel="2">
      <c r="A66" s="287"/>
      <c r="B66" s="376" t="s">
        <v>425</v>
      </c>
      <c r="C66" s="376"/>
      <c r="D66" s="376"/>
      <c r="E66" s="377"/>
      <c r="F66" s="377"/>
      <c r="G66" s="377"/>
      <c r="H66" s="377"/>
      <c r="I66" s="377"/>
      <c r="J66" s="377"/>
      <c r="K66" s="377"/>
      <c r="L66" s="392"/>
    </row>
    <row r="67" spans="1:12" hidden="1" outlineLevel="1" collapsed="1">
      <c r="A67" s="289"/>
      <c r="B67" s="284" t="s">
        <v>435</v>
      </c>
      <c r="C67" s="284"/>
      <c r="D67" s="284"/>
      <c r="E67" s="284"/>
      <c r="F67" s="284"/>
      <c r="G67" s="284"/>
      <c r="H67" s="284"/>
      <c r="I67" s="284"/>
      <c r="J67" s="284"/>
      <c r="K67" s="284"/>
      <c r="L67" s="108">
        <f>SUM(K61:K65)</f>
        <v>0</v>
      </c>
    </row>
    <row r="68" spans="1:12" hidden="1" outlineLevel="1">
      <c r="A68" s="196"/>
      <c r="B68" s="284" t="s">
        <v>436</v>
      </c>
      <c r="C68" s="284"/>
      <c r="D68" s="284"/>
      <c r="E68" s="284"/>
      <c r="F68" s="284"/>
      <c r="G68" s="284"/>
      <c r="H68" s="284"/>
      <c r="I68" s="284"/>
      <c r="J68" s="284"/>
      <c r="K68" s="284"/>
      <c r="L68" s="108">
        <f>L59+L67</f>
        <v>0</v>
      </c>
    </row>
    <row r="69" spans="1:12" hidden="1" outlineLevel="1" collapsed="1">
      <c r="A69" s="295" t="s">
        <v>152</v>
      </c>
      <c r="B69" s="295"/>
      <c r="C69" s="295"/>
      <c r="D69" s="295"/>
      <c r="E69" s="295"/>
      <c r="F69" s="295"/>
      <c r="G69" s="295"/>
      <c r="H69" s="295"/>
      <c r="I69" s="295"/>
      <c r="J69" s="295"/>
      <c r="K69" s="295"/>
      <c r="L69" s="295"/>
    </row>
    <row r="70" spans="1:12" hidden="1" outlineLevel="2">
      <c r="A70" s="285" t="s">
        <v>103</v>
      </c>
      <c r="B70" s="284" t="s">
        <v>437</v>
      </c>
      <c r="C70" s="284"/>
      <c r="D70" s="284"/>
      <c r="E70" s="284"/>
      <c r="F70" s="284"/>
      <c r="G70" s="284"/>
      <c r="H70" s="284"/>
      <c r="I70" s="284"/>
      <c r="J70" s="284"/>
      <c r="K70" s="284"/>
      <c r="L70" s="108">
        <f>'CO1'!M76</f>
        <v>0</v>
      </c>
    </row>
    <row r="71" spans="1:12" ht="38.25" hidden="1" customHeight="1" outlineLevel="2">
      <c r="A71" s="287"/>
      <c r="B71" s="296" t="s">
        <v>470</v>
      </c>
      <c r="C71" s="296"/>
      <c r="D71" s="296"/>
      <c r="E71" s="296" t="s">
        <v>412</v>
      </c>
      <c r="F71" s="296"/>
      <c r="G71" s="191" t="s">
        <v>424</v>
      </c>
      <c r="H71" s="296" t="s">
        <v>414</v>
      </c>
      <c r="I71" s="296"/>
      <c r="J71" s="296"/>
      <c r="K71" s="191" t="s">
        <v>415</v>
      </c>
      <c r="L71" s="191" t="s">
        <v>109</v>
      </c>
    </row>
    <row r="72" spans="1:12" hidden="1" outlineLevel="2">
      <c r="A72" s="287"/>
      <c r="B72" s="297"/>
      <c r="C72" s="297"/>
      <c r="D72" s="297"/>
      <c r="E72" s="297"/>
      <c r="F72" s="297"/>
      <c r="G72" s="189"/>
      <c r="H72" s="294"/>
      <c r="I72" s="294"/>
      <c r="J72" s="294"/>
      <c r="K72" s="107">
        <f>E72-B72</f>
        <v>0</v>
      </c>
      <c r="L72" s="298"/>
    </row>
    <row r="73" spans="1:12" hidden="1" outlineLevel="2">
      <c r="A73" s="287"/>
      <c r="B73" s="297"/>
      <c r="C73" s="297"/>
      <c r="D73" s="297"/>
      <c r="E73" s="297"/>
      <c r="F73" s="297"/>
      <c r="G73" s="189"/>
      <c r="H73" s="294"/>
      <c r="I73" s="294"/>
      <c r="J73" s="294"/>
      <c r="K73" s="107">
        <f>E73-B73</f>
        <v>0</v>
      </c>
      <c r="L73" s="298"/>
    </row>
    <row r="74" spans="1:12" hidden="1" outlineLevel="2">
      <c r="A74" s="287"/>
      <c r="B74" s="297"/>
      <c r="C74" s="297"/>
      <c r="D74" s="297"/>
      <c r="E74" s="297"/>
      <c r="F74" s="297"/>
      <c r="G74" s="189"/>
      <c r="H74" s="294"/>
      <c r="I74" s="294"/>
      <c r="J74" s="294"/>
      <c r="K74" s="107">
        <f>E74-B74</f>
        <v>0</v>
      </c>
      <c r="L74" s="298"/>
    </row>
    <row r="75" spans="1:12" hidden="1" outlineLevel="1" collapsed="1">
      <c r="A75" s="289"/>
      <c r="B75" s="284" t="s">
        <v>438</v>
      </c>
      <c r="C75" s="284"/>
      <c r="D75" s="284"/>
      <c r="E75" s="284"/>
      <c r="F75" s="284"/>
      <c r="G75" s="284"/>
      <c r="H75" s="284"/>
      <c r="I75" s="284"/>
      <c r="J75" s="284"/>
      <c r="K75" s="284"/>
      <c r="L75" s="108">
        <f>SUM(K72:K74)</f>
        <v>0</v>
      </c>
    </row>
    <row r="76" spans="1:12" hidden="1" outlineLevel="1">
      <c r="A76" s="196"/>
      <c r="B76" s="284" t="s">
        <v>439</v>
      </c>
      <c r="C76" s="284"/>
      <c r="D76" s="284"/>
      <c r="E76" s="284"/>
      <c r="F76" s="284"/>
      <c r="G76" s="284"/>
      <c r="H76" s="284"/>
      <c r="I76" s="284"/>
      <c r="J76" s="284"/>
      <c r="K76" s="284"/>
      <c r="L76" s="108">
        <f>L70+L75</f>
        <v>0</v>
      </c>
    </row>
    <row r="77" spans="1:12" hidden="1" outlineLevel="1" collapsed="1">
      <c r="A77" s="295" t="s">
        <v>440</v>
      </c>
      <c r="B77" s="295"/>
      <c r="C77" s="295"/>
      <c r="D77" s="295"/>
      <c r="E77" s="295"/>
      <c r="F77" s="295"/>
      <c r="G77" s="295"/>
      <c r="H77" s="295"/>
      <c r="I77" s="295"/>
      <c r="J77" s="295"/>
      <c r="K77" s="295"/>
      <c r="L77" s="295"/>
    </row>
    <row r="78" spans="1:12" hidden="1" outlineLevel="2">
      <c r="A78" s="285" t="s">
        <v>103</v>
      </c>
      <c r="B78" s="284" t="s">
        <v>441</v>
      </c>
      <c r="C78" s="284"/>
      <c r="D78" s="284"/>
      <c r="E78" s="284"/>
      <c r="F78" s="284"/>
      <c r="G78" s="284"/>
      <c r="H78" s="284"/>
      <c r="I78" s="284"/>
      <c r="J78" s="284"/>
      <c r="K78" s="284"/>
      <c r="L78" s="108">
        <f>'CO1'!M84</f>
        <v>0</v>
      </c>
    </row>
    <row r="79" spans="1:12" ht="38.25" hidden="1" customHeight="1" outlineLevel="2">
      <c r="A79" s="287"/>
      <c r="B79" s="296" t="s">
        <v>470</v>
      </c>
      <c r="C79" s="296"/>
      <c r="D79" s="296"/>
      <c r="E79" s="296" t="s">
        <v>412</v>
      </c>
      <c r="F79" s="296"/>
      <c r="G79" s="191" t="s">
        <v>424</v>
      </c>
      <c r="H79" s="296" t="s">
        <v>414</v>
      </c>
      <c r="I79" s="296"/>
      <c r="J79" s="296"/>
      <c r="K79" s="191" t="s">
        <v>415</v>
      </c>
      <c r="L79" s="191" t="s">
        <v>109</v>
      </c>
    </row>
    <row r="80" spans="1:12" hidden="1" outlineLevel="2">
      <c r="A80" s="287"/>
      <c r="B80" s="356"/>
      <c r="C80" s="356"/>
      <c r="D80" s="356"/>
      <c r="E80" s="356"/>
      <c r="F80" s="356"/>
      <c r="G80" s="189"/>
      <c r="H80" s="391"/>
      <c r="I80" s="391"/>
      <c r="J80" s="391"/>
      <c r="K80" s="107">
        <f>E80-B80</f>
        <v>0</v>
      </c>
      <c r="L80" s="298"/>
    </row>
    <row r="81" spans="1:12" hidden="1" outlineLevel="2">
      <c r="A81" s="287"/>
      <c r="B81" s="356"/>
      <c r="C81" s="356"/>
      <c r="D81" s="356"/>
      <c r="E81" s="356"/>
      <c r="F81" s="356"/>
      <c r="G81" s="189"/>
      <c r="H81" s="391"/>
      <c r="I81" s="391"/>
      <c r="J81" s="391"/>
      <c r="K81" s="107">
        <f>E81-B81</f>
        <v>0</v>
      </c>
      <c r="L81" s="298"/>
    </row>
    <row r="82" spans="1:12" hidden="1" outlineLevel="2">
      <c r="A82" s="287"/>
      <c r="B82" s="356"/>
      <c r="C82" s="356"/>
      <c r="D82" s="356"/>
      <c r="E82" s="356"/>
      <c r="F82" s="356"/>
      <c r="G82" s="189"/>
      <c r="H82" s="294"/>
      <c r="I82" s="294"/>
      <c r="J82" s="294"/>
      <c r="K82" s="107">
        <f>E82-B82</f>
        <v>0</v>
      </c>
      <c r="L82" s="298"/>
    </row>
    <row r="83" spans="1:12" hidden="1" outlineLevel="1" collapsed="1">
      <c r="A83" s="289"/>
      <c r="B83" s="284" t="s">
        <v>442</v>
      </c>
      <c r="C83" s="284"/>
      <c r="D83" s="284"/>
      <c r="E83" s="284"/>
      <c r="F83" s="284"/>
      <c r="G83" s="284"/>
      <c r="H83" s="284"/>
      <c r="I83" s="284"/>
      <c r="J83" s="284"/>
      <c r="K83" s="284"/>
      <c r="L83" s="108">
        <f>SUM(K80:K82)</f>
        <v>0</v>
      </c>
    </row>
    <row r="84" spans="1:12" hidden="1" outlineLevel="1">
      <c r="A84" s="194"/>
      <c r="B84" s="284" t="s">
        <v>443</v>
      </c>
      <c r="C84" s="284"/>
      <c r="D84" s="284"/>
      <c r="E84" s="284"/>
      <c r="F84" s="284"/>
      <c r="G84" s="284"/>
      <c r="H84" s="284"/>
      <c r="I84" s="284"/>
      <c r="J84" s="284"/>
      <c r="K84" s="284"/>
      <c r="L84" s="108">
        <f>L78+L83</f>
        <v>0</v>
      </c>
    </row>
    <row r="85" spans="1:12" hidden="1" outlineLevel="1" collapsed="1">
      <c r="A85" s="295" t="s">
        <v>444</v>
      </c>
      <c r="B85" s="295"/>
      <c r="C85" s="295"/>
      <c r="D85" s="295"/>
      <c r="E85" s="295"/>
      <c r="F85" s="295"/>
      <c r="G85" s="295"/>
      <c r="H85" s="295"/>
      <c r="I85" s="295"/>
      <c r="J85" s="295"/>
      <c r="K85" s="295"/>
      <c r="L85" s="295"/>
    </row>
    <row r="86" spans="1:12" hidden="1" outlineLevel="2">
      <c r="A86" s="285" t="s">
        <v>103</v>
      </c>
      <c r="B86" s="284" t="s">
        <v>445</v>
      </c>
      <c r="C86" s="284"/>
      <c r="D86" s="284"/>
      <c r="E86" s="284"/>
      <c r="F86" s="284"/>
      <c r="G86" s="284"/>
      <c r="H86" s="284"/>
      <c r="I86" s="284"/>
      <c r="J86" s="284"/>
      <c r="K86" s="284"/>
      <c r="L86" s="108">
        <f>'CO1'!M92</f>
        <v>0</v>
      </c>
    </row>
    <row r="87" spans="1:12" ht="38.25" hidden="1" customHeight="1" outlineLevel="2">
      <c r="A87" s="287"/>
      <c r="B87" s="296" t="s">
        <v>470</v>
      </c>
      <c r="C87" s="296"/>
      <c r="D87" s="296"/>
      <c r="E87" s="296" t="s">
        <v>412</v>
      </c>
      <c r="F87" s="296"/>
      <c r="G87" s="191" t="s">
        <v>413</v>
      </c>
      <c r="H87" s="296" t="s">
        <v>414</v>
      </c>
      <c r="I87" s="296"/>
      <c r="J87" s="296"/>
      <c r="K87" s="191" t="s">
        <v>415</v>
      </c>
      <c r="L87" s="191" t="s">
        <v>109</v>
      </c>
    </row>
    <row r="88" spans="1:12" hidden="1" outlineLevel="2">
      <c r="A88" s="287"/>
      <c r="B88" s="297"/>
      <c r="C88" s="297"/>
      <c r="D88" s="297"/>
      <c r="E88" s="297"/>
      <c r="F88" s="297"/>
      <c r="G88" s="189"/>
      <c r="H88" s="294"/>
      <c r="I88" s="294"/>
      <c r="J88" s="294"/>
      <c r="K88" s="107">
        <f>E88-B88</f>
        <v>0</v>
      </c>
      <c r="L88" s="298"/>
    </row>
    <row r="89" spans="1:12" hidden="1" outlineLevel="2">
      <c r="A89" s="287"/>
      <c r="B89" s="297"/>
      <c r="C89" s="297"/>
      <c r="D89" s="297"/>
      <c r="E89" s="297"/>
      <c r="F89" s="297"/>
      <c r="G89" s="189"/>
      <c r="H89" s="391"/>
      <c r="I89" s="391"/>
      <c r="J89" s="391"/>
      <c r="K89" s="107">
        <f>E89-B89</f>
        <v>0</v>
      </c>
      <c r="L89" s="298"/>
    </row>
    <row r="90" spans="1:12" hidden="1" outlineLevel="2">
      <c r="A90" s="287"/>
      <c r="B90" s="393"/>
      <c r="C90" s="393"/>
      <c r="D90" s="393"/>
      <c r="E90" s="393"/>
      <c r="F90" s="393"/>
      <c r="G90" s="189"/>
      <c r="H90" s="294"/>
      <c r="I90" s="294"/>
      <c r="J90" s="294"/>
      <c r="K90" s="107">
        <f>E90-B90</f>
        <v>0</v>
      </c>
      <c r="L90" s="298"/>
    </row>
    <row r="91" spans="1:12" hidden="1" outlineLevel="1" collapsed="1">
      <c r="A91" s="289"/>
      <c r="B91" s="284" t="s">
        <v>446</v>
      </c>
      <c r="C91" s="284"/>
      <c r="D91" s="284"/>
      <c r="E91" s="284"/>
      <c r="F91" s="284"/>
      <c r="G91" s="284"/>
      <c r="H91" s="284"/>
      <c r="I91" s="284"/>
      <c r="J91" s="284"/>
      <c r="K91" s="284"/>
      <c r="L91" s="108">
        <f>SUM(K88:K90)</f>
        <v>0</v>
      </c>
    </row>
    <row r="92" spans="1:12" hidden="1" outlineLevel="1">
      <c r="A92" s="193"/>
      <c r="B92" s="284" t="s">
        <v>447</v>
      </c>
      <c r="C92" s="284"/>
      <c r="D92" s="284"/>
      <c r="E92" s="284"/>
      <c r="F92" s="284"/>
      <c r="G92" s="284"/>
      <c r="H92" s="284"/>
      <c r="I92" s="284"/>
      <c r="J92" s="284"/>
      <c r="K92" s="284"/>
      <c r="L92" s="108">
        <f>L86+L91</f>
        <v>0</v>
      </c>
    </row>
    <row r="93" spans="1:12" hidden="1" outlineLevel="1" collapsed="1">
      <c r="A93" s="295" t="s">
        <v>167</v>
      </c>
      <c r="B93" s="295"/>
      <c r="C93" s="295"/>
      <c r="D93" s="295"/>
      <c r="E93" s="295"/>
      <c r="F93" s="295"/>
      <c r="G93" s="295"/>
      <c r="H93" s="295"/>
      <c r="I93" s="295"/>
      <c r="J93" s="295"/>
      <c r="K93" s="295"/>
      <c r="L93" s="295"/>
    </row>
    <row r="94" spans="1:12" hidden="1" outlineLevel="2">
      <c r="A94" s="285" t="s">
        <v>103</v>
      </c>
      <c r="B94" s="284" t="s">
        <v>448</v>
      </c>
      <c r="C94" s="284"/>
      <c r="D94" s="284"/>
      <c r="E94" s="284"/>
      <c r="F94" s="284"/>
      <c r="G94" s="284"/>
      <c r="H94" s="284"/>
      <c r="I94" s="284"/>
      <c r="J94" s="284"/>
      <c r="K94" s="284"/>
      <c r="L94" s="110">
        <f>'CO1'!M101</f>
        <v>0</v>
      </c>
    </row>
    <row r="95" spans="1:12" ht="38.25" hidden="1" customHeight="1" outlineLevel="2">
      <c r="A95" s="287"/>
      <c r="B95" s="296" t="s">
        <v>470</v>
      </c>
      <c r="C95" s="296"/>
      <c r="D95" s="296"/>
      <c r="E95" s="296" t="s">
        <v>412</v>
      </c>
      <c r="F95" s="296"/>
      <c r="G95" s="191" t="s">
        <v>424</v>
      </c>
      <c r="H95" s="296" t="s">
        <v>414</v>
      </c>
      <c r="I95" s="296"/>
      <c r="J95" s="296"/>
      <c r="K95" s="191" t="s">
        <v>415</v>
      </c>
      <c r="L95" s="191" t="s">
        <v>109</v>
      </c>
    </row>
    <row r="96" spans="1:12" hidden="1" outlineLevel="2">
      <c r="A96" s="287"/>
      <c r="B96" s="297"/>
      <c r="C96" s="297"/>
      <c r="D96" s="297"/>
      <c r="E96" s="297"/>
      <c r="F96" s="297"/>
      <c r="G96" s="189"/>
      <c r="H96" s="294"/>
      <c r="I96" s="294"/>
      <c r="J96" s="294"/>
      <c r="K96" s="107">
        <f>E96-B96</f>
        <v>0</v>
      </c>
      <c r="L96" s="394"/>
    </row>
    <row r="97" spans="1:12" hidden="1" outlineLevel="2">
      <c r="A97" s="287"/>
      <c r="B97" s="297"/>
      <c r="C97" s="297"/>
      <c r="D97" s="297"/>
      <c r="E97" s="297"/>
      <c r="F97" s="297"/>
      <c r="G97" s="189"/>
      <c r="H97" s="391"/>
      <c r="I97" s="391"/>
      <c r="J97" s="391"/>
      <c r="K97" s="107">
        <f>E97-B97</f>
        <v>0</v>
      </c>
      <c r="L97" s="394"/>
    </row>
    <row r="98" spans="1:12" hidden="1" outlineLevel="2">
      <c r="A98" s="287"/>
      <c r="B98" s="297"/>
      <c r="C98" s="297"/>
      <c r="D98" s="297"/>
      <c r="E98" s="297"/>
      <c r="F98" s="297"/>
      <c r="G98" s="189"/>
      <c r="H98" s="294"/>
      <c r="I98" s="294"/>
      <c r="J98" s="294"/>
      <c r="K98" s="107">
        <f>E98-B98</f>
        <v>0</v>
      </c>
      <c r="L98" s="394"/>
    </row>
    <row r="99" spans="1:12" hidden="1" outlineLevel="2">
      <c r="A99" s="287"/>
      <c r="B99" s="376" t="s">
        <v>425</v>
      </c>
      <c r="C99" s="376"/>
      <c r="D99" s="376"/>
      <c r="E99" s="377"/>
      <c r="F99" s="377"/>
      <c r="G99" s="377"/>
      <c r="H99" s="377"/>
      <c r="I99" s="377"/>
      <c r="J99" s="377"/>
      <c r="K99" s="377"/>
      <c r="L99" s="394"/>
    </row>
    <row r="100" spans="1:12" hidden="1" outlineLevel="1" collapsed="1">
      <c r="A100" s="289"/>
      <c r="B100" s="284" t="s">
        <v>449</v>
      </c>
      <c r="C100" s="284"/>
      <c r="D100" s="284"/>
      <c r="E100" s="284"/>
      <c r="F100" s="284"/>
      <c r="G100" s="284"/>
      <c r="H100" s="284"/>
      <c r="I100" s="284"/>
      <c r="J100" s="284"/>
      <c r="K100" s="284"/>
      <c r="L100" s="110">
        <f>SUM(K96:K98)</f>
        <v>0</v>
      </c>
    </row>
    <row r="101" spans="1:12" hidden="1" outlineLevel="1">
      <c r="A101" s="194"/>
      <c r="B101" s="284" t="s">
        <v>450</v>
      </c>
      <c r="C101" s="284"/>
      <c r="D101" s="284"/>
      <c r="E101" s="284"/>
      <c r="F101" s="284"/>
      <c r="G101" s="284"/>
      <c r="H101" s="284"/>
      <c r="I101" s="284"/>
      <c r="J101" s="284"/>
      <c r="K101" s="284"/>
      <c r="L101" s="110">
        <f>L94+L100</f>
        <v>0</v>
      </c>
    </row>
    <row r="102" spans="1:12" hidden="1" outlineLevel="1" collapsed="1">
      <c r="A102" s="295" t="s">
        <v>451</v>
      </c>
      <c r="B102" s="295"/>
      <c r="C102" s="295"/>
      <c r="D102" s="295"/>
      <c r="E102" s="295"/>
      <c r="F102" s="295"/>
      <c r="G102" s="295"/>
      <c r="H102" s="295"/>
      <c r="I102" s="295"/>
      <c r="J102" s="295"/>
      <c r="K102" s="295"/>
      <c r="L102" s="295"/>
    </row>
    <row r="103" spans="1:12" hidden="1" outlineLevel="2">
      <c r="A103" s="285" t="s">
        <v>103</v>
      </c>
      <c r="B103" s="284" t="s">
        <v>452</v>
      </c>
      <c r="C103" s="284"/>
      <c r="D103" s="284"/>
      <c r="E103" s="284"/>
      <c r="F103" s="284"/>
      <c r="G103" s="284"/>
      <c r="H103" s="284"/>
      <c r="I103" s="284"/>
      <c r="J103" s="284"/>
      <c r="K103" s="284"/>
      <c r="L103" s="110">
        <f>'CO1'!M110</f>
        <v>0</v>
      </c>
    </row>
    <row r="104" spans="1:12" ht="38.25" hidden="1" customHeight="1" outlineLevel="2">
      <c r="A104" s="287"/>
      <c r="B104" s="296" t="s">
        <v>470</v>
      </c>
      <c r="C104" s="296"/>
      <c r="D104" s="296"/>
      <c r="E104" s="296" t="s">
        <v>412</v>
      </c>
      <c r="F104" s="296"/>
      <c r="G104" s="191" t="s">
        <v>413</v>
      </c>
      <c r="H104" s="296" t="s">
        <v>414</v>
      </c>
      <c r="I104" s="296"/>
      <c r="J104" s="296"/>
      <c r="K104" s="191" t="s">
        <v>415</v>
      </c>
      <c r="L104" s="191" t="s">
        <v>109</v>
      </c>
    </row>
    <row r="105" spans="1:12" ht="12.75" hidden="1" customHeight="1" outlineLevel="2">
      <c r="A105" s="287"/>
      <c r="B105" s="425"/>
      <c r="C105" s="426"/>
      <c r="D105" s="427"/>
      <c r="E105" s="297"/>
      <c r="F105" s="297"/>
      <c r="G105" s="75"/>
      <c r="H105" s="395"/>
      <c r="I105" s="395"/>
      <c r="J105" s="395"/>
      <c r="K105" s="107">
        <f>E105-B105</f>
        <v>0</v>
      </c>
      <c r="L105" s="396"/>
    </row>
    <row r="106" spans="1:12" hidden="1" outlineLevel="2">
      <c r="A106" s="287"/>
      <c r="B106" s="297"/>
      <c r="C106" s="297"/>
      <c r="D106" s="297"/>
      <c r="E106" s="297"/>
      <c r="F106" s="297"/>
      <c r="G106" s="75"/>
      <c r="H106" s="395"/>
      <c r="I106" s="395"/>
      <c r="J106" s="395"/>
      <c r="K106" s="107">
        <f>E106-B106</f>
        <v>0</v>
      </c>
      <c r="L106" s="397"/>
    </row>
    <row r="107" spans="1:12" hidden="1" outlineLevel="2">
      <c r="A107" s="287"/>
      <c r="B107" s="297"/>
      <c r="C107" s="297"/>
      <c r="D107" s="297"/>
      <c r="E107" s="297"/>
      <c r="F107" s="297"/>
      <c r="G107" s="75"/>
      <c r="H107" s="395"/>
      <c r="I107" s="395"/>
      <c r="J107" s="395"/>
      <c r="K107" s="107">
        <f>E107-B107</f>
        <v>0</v>
      </c>
      <c r="L107" s="397"/>
    </row>
    <row r="108" spans="1:12" hidden="1" outlineLevel="2">
      <c r="A108" s="287"/>
      <c r="B108" s="297"/>
      <c r="C108" s="297"/>
      <c r="D108" s="297"/>
      <c r="E108" s="297"/>
      <c r="F108" s="297"/>
      <c r="G108" s="189"/>
      <c r="H108" s="294"/>
      <c r="I108" s="294"/>
      <c r="J108" s="294"/>
      <c r="K108" s="107">
        <f>E108-B108</f>
        <v>0</v>
      </c>
      <c r="L108" s="398"/>
    </row>
    <row r="109" spans="1:12" hidden="1" outlineLevel="1" collapsed="1">
      <c r="A109" s="289"/>
      <c r="B109" s="284" t="s">
        <v>453</v>
      </c>
      <c r="C109" s="284"/>
      <c r="D109" s="284"/>
      <c r="E109" s="284"/>
      <c r="F109" s="284"/>
      <c r="G109" s="284"/>
      <c r="H109" s="284"/>
      <c r="I109" s="284"/>
      <c r="J109" s="284"/>
      <c r="K109" s="284"/>
      <c r="L109" s="110">
        <f>SUM(K105:K108)</f>
        <v>0</v>
      </c>
    </row>
    <row r="110" spans="1:12" hidden="1" outlineLevel="1">
      <c r="A110" s="194"/>
      <c r="B110" s="284" t="s">
        <v>454</v>
      </c>
      <c r="C110" s="284"/>
      <c r="D110" s="284"/>
      <c r="E110" s="284"/>
      <c r="F110" s="284"/>
      <c r="G110" s="284"/>
      <c r="H110" s="284"/>
      <c r="I110" s="284"/>
      <c r="J110" s="284"/>
      <c r="K110" s="284"/>
      <c r="L110" s="110">
        <f>L103+L109</f>
        <v>0</v>
      </c>
    </row>
    <row r="111" spans="1:12" hidden="1" outlineLevel="1" collapsed="1">
      <c r="A111" s="361" t="s">
        <v>178</v>
      </c>
      <c r="B111" s="361"/>
      <c r="C111" s="361"/>
      <c r="D111" s="361"/>
      <c r="E111" s="361"/>
      <c r="F111" s="361"/>
      <c r="G111" s="361"/>
      <c r="H111" s="361"/>
      <c r="I111" s="361"/>
      <c r="J111" s="361"/>
      <c r="K111" s="361"/>
      <c r="L111" s="361"/>
    </row>
    <row r="112" spans="1:12" hidden="1" outlineLevel="2">
      <c r="A112" s="285" t="s">
        <v>103</v>
      </c>
      <c r="B112" s="284" t="s">
        <v>455</v>
      </c>
      <c r="C112" s="284"/>
      <c r="D112" s="284"/>
      <c r="E112" s="284"/>
      <c r="F112" s="284"/>
      <c r="G112" s="284"/>
      <c r="H112" s="284"/>
      <c r="I112" s="284"/>
      <c r="J112" s="284"/>
      <c r="K112" s="284"/>
      <c r="L112" s="108">
        <f>'CO1'!M119</f>
        <v>0</v>
      </c>
    </row>
    <row r="113" spans="1:12" ht="38.25" hidden="1" customHeight="1" outlineLevel="2">
      <c r="A113" s="287"/>
      <c r="B113" s="296" t="s">
        <v>470</v>
      </c>
      <c r="C113" s="296"/>
      <c r="D113" s="296"/>
      <c r="E113" s="296" t="s">
        <v>412</v>
      </c>
      <c r="F113" s="296"/>
      <c r="G113" s="191" t="s">
        <v>424</v>
      </c>
      <c r="H113" s="296" t="s">
        <v>414</v>
      </c>
      <c r="I113" s="296"/>
      <c r="J113" s="296"/>
      <c r="K113" s="191" t="s">
        <v>415</v>
      </c>
      <c r="L113" s="191" t="s">
        <v>109</v>
      </c>
    </row>
    <row r="114" spans="1:12" hidden="1" outlineLevel="2">
      <c r="A114" s="287"/>
      <c r="B114" s="356"/>
      <c r="C114" s="356"/>
      <c r="D114" s="356"/>
      <c r="E114" s="356"/>
      <c r="F114" s="356"/>
      <c r="G114" s="189"/>
      <c r="H114" s="378"/>
      <c r="I114" s="378"/>
      <c r="J114" s="378"/>
      <c r="K114" s="107">
        <f>E114-B114</f>
        <v>0</v>
      </c>
      <c r="L114" s="399"/>
    </row>
    <row r="115" spans="1:12" hidden="1" outlineLevel="2">
      <c r="A115" s="287"/>
      <c r="B115" s="356"/>
      <c r="C115" s="356"/>
      <c r="D115" s="356"/>
      <c r="E115" s="356"/>
      <c r="F115" s="356"/>
      <c r="G115" s="189"/>
      <c r="H115" s="283"/>
      <c r="I115" s="283"/>
      <c r="J115" s="283"/>
      <c r="K115" s="107">
        <f>E115-B115</f>
        <v>0</v>
      </c>
      <c r="L115" s="399"/>
    </row>
    <row r="116" spans="1:12" hidden="1" outlineLevel="2">
      <c r="A116" s="287"/>
      <c r="B116" s="356"/>
      <c r="C116" s="356"/>
      <c r="D116" s="356"/>
      <c r="E116" s="356"/>
      <c r="F116" s="356"/>
      <c r="G116" s="189"/>
      <c r="H116" s="401"/>
      <c r="I116" s="401"/>
      <c r="J116" s="401"/>
      <c r="K116" s="107">
        <f>E116-B116</f>
        <v>0</v>
      </c>
      <c r="L116" s="399"/>
    </row>
    <row r="117" spans="1:12" hidden="1" outlineLevel="2">
      <c r="A117" s="287"/>
      <c r="B117" s="356"/>
      <c r="C117" s="356"/>
      <c r="D117" s="356"/>
      <c r="E117" s="356"/>
      <c r="F117" s="356"/>
      <c r="G117" s="189"/>
      <c r="H117" s="400"/>
      <c r="I117" s="400"/>
      <c r="J117" s="400"/>
      <c r="K117" s="107">
        <f>E117-B117</f>
        <v>0</v>
      </c>
      <c r="L117" s="399"/>
    </row>
    <row r="118" spans="1:12" hidden="1" outlineLevel="1" collapsed="1">
      <c r="A118" s="289"/>
      <c r="B118" s="284" t="s">
        <v>456</v>
      </c>
      <c r="C118" s="284"/>
      <c r="D118" s="284"/>
      <c r="E118" s="284"/>
      <c r="F118" s="284"/>
      <c r="G118" s="284"/>
      <c r="H118" s="284"/>
      <c r="I118" s="284"/>
      <c r="J118" s="284"/>
      <c r="K118" s="284"/>
      <c r="L118" s="108">
        <f>SUM(K114:K117)</f>
        <v>0</v>
      </c>
    </row>
    <row r="119" spans="1:12" hidden="1" outlineLevel="1">
      <c r="A119" s="194"/>
      <c r="B119" s="284" t="s">
        <v>457</v>
      </c>
      <c r="C119" s="284"/>
      <c r="D119" s="284"/>
      <c r="E119" s="284"/>
      <c r="F119" s="284"/>
      <c r="G119" s="284"/>
      <c r="H119" s="284"/>
      <c r="I119" s="284"/>
      <c r="J119" s="284"/>
      <c r="K119" s="284"/>
      <c r="L119" s="108">
        <f>L112+L118</f>
        <v>0</v>
      </c>
    </row>
    <row r="120" spans="1:12" hidden="1" outlineLevel="1" collapsed="1">
      <c r="A120" s="361" t="s">
        <v>458</v>
      </c>
      <c r="B120" s="361"/>
      <c r="C120" s="361"/>
      <c r="D120" s="361"/>
      <c r="E120" s="361"/>
      <c r="F120" s="361"/>
      <c r="G120" s="361"/>
      <c r="H120" s="361"/>
      <c r="I120" s="361"/>
      <c r="J120" s="361"/>
      <c r="K120" s="361"/>
      <c r="L120" s="361"/>
    </row>
    <row r="121" spans="1:12" ht="12.75" hidden="1" customHeight="1" outlineLevel="2">
      <c r="A121" s="285" t="s">
        <v>103</v>
      </c>
      <c r="B121" s="402" t="s">
        <v>459</v>
      </c>
      <c r="C121" s="403"/>
      <c r="D121" s="403"/>
      <c r="E121" s="403"/>
      <c r="F121" s="403"/>
      <c r="G121" s="403"/>
      <c r="H121" s="403"/>
      <c r="I121" s="403"/>
      <c r="J121" s="403"/>
      <c r="K121" s="404"/>
      <c r="L121" s="108">
        <f>'CO1'!M128</f>
        <v>0</v>
      </c>
    </row>
    <row r="122" spans="1:12" ht="38.25" hidden="1" customHeight="1" outlineLevel="2">
      <c r="A122" s="287"/>
      <c r="B122" s="296" t="s">
        <v>470</v>
      </c>
      <c r="C122" s="296"/>
      <c r="D122" s="296"/>
      <c r="E122" s="296" t="s">
        <v>412</v>
      </c>
      <c r="F122" s="296"/>
      <c r="G122" s="191" t="s">
        <v>413</v>
      </c>
      <c r="H122" s="296" t="s">
        <v>414</v>
      </c>
      <c r="I122" s="296"/>
      <c r="J122" s="296"/>
      <c r="K122" s="191" t="s">
        <v>415</v>
      </c>
      <c r="L122" s="191" t="s">
        <v>109</v>
      </c>
    </row>
    <row r="123" spans="1:12" hidden="1" outlineLevel="2">
      <c r="A123" s="287"/>
      <c r="B123" s="356"/>
      <c r="C123" s="356"/>
      <c r="D123" s="356"/>
      <c r="E123" s="356"/>
      <c r="F123" s="356"/>
      <c r="G123" s="189"/>
      <c r="H123" s="378"/>
      <c r="I123" s="378"/>
      <c r="J123" s="378"/>
      <c r="K123" s="107">
        <f>E123-B123</f>
        <v>0</v>
      </c>
      <c r="L123" s="298"/>
    </row>
    <row r="124" spans="1:12" hidden="1" outlineLevel="2">
      <c r="A124" s="287"/>
      <c r="B124" s="356"/>
      <c r="C124" s="356"/>
      <c r="D124" s="356"/>
      <c r="E124" s="356"/>
      <c r="F124" s="356"/>
      <c r="G124" s="189"/>
      <c r="H124" s="378"/>
      <c r="I124" s="378"/>
      <c r="J124" s="378"/>
      <c r="K124" s="107">
        <f>E124-B124</f>
        <v>0</v>
      </c>
      <c r="L124" s="298"/>
    </row>
    <row r="125" spans="1:12" hidden="1" outlineLevel="2">
      <c r="A125" s="287"/>
      <c r="B125" s="356"/>
      <c r="C125" s="356"/>
      <c r="D125" s="356"/>
      <c r="E125" s="356"/>
      <c r="F125" s="356"/>
      <c r="G125" s="189"/>
      <c r="H125" s="401"/>
      <c r="I125" s="401"/>
      <c r="J125" s="401"/>
      <c r="K125" s="107">
        <f>E125-B125</f>
        <v>0</v>
      </c>
      <c r="L125" s="298"/>
    </row>
    <row r="126" spans="1:12" hidden="1" outlineLevel="2">
      <c r="A126" s="287"/>
      <c r="B126" s="356"/>
      <c r="C126" s="356"/>
      <c r="D126" s="356"/>
      <c r="E126" s="356"/>
      <c r="F126" s="356"/>
      <c r="G126" s="189"/>
      <c r="H126" s="408"/>
      <c r="I126" s="408"/>
      <c r="J126" s="408"/>
      <c r="K126" s="107">
        <f>E126-B126</f>
        <v>0</v>
      </c>
      <c r="L126" s="298"/>
    </row>
    <row r="127" spans="1:12" ht="12.75" hidden="1" customHeight="1" outlineLevel="1" collapsed="1">
      <c r="A127" s="289"/>
      <c r="B127" s="422" t="s">
        <v>460</v>
      </c>
      <c r="C127" s="423"/>
      <c r="D127" s="423"/>
      <c r="E127" s="423"/>
      <c r="F127" s="423"/>
      <c r="G127" s="423"/>
      <c r="H127" s="423"/>
      <c r="I127" s="423"/>
      <c r="J127" s="423"/>
      <c r="K127" s="424"/>
      <c r="L127" s="108">
        <f>SUM(K123:K126)</f>
        <v>0</v>
      </c>
    </row>
    <row r="128" spans="1:12" ht="12.75" hidden="1" customHeight="1" outlineLevel="1">
      <c r="A128" s="194"/>
      <c r="B128" s="402" t="s">
        <v>461</v>
      </c>
      <c r="C128" s="403"/>
      <c r="D128" s="403"/>
      <c r="E128" s="403"/>
      <c r="F128" s="403"/>
      <c r="G128" s="403"/>
      <c r="H128" s="403"/>
      <c r="I128" s="403"/>
      <c r="J128" s="403"/>
      <c r="K128" s="404"/>
      <c r="L128" s="108">
        <f>L121+L127</f>
        <v>0</v>
      </c>
    </row>
    <row r="129" spans="1:18" hidden="1" outlineLevel="1">
      <c r="A129" s="361" t="s">
        <v>462</v>
      </c>
      <c r="B129" s="361"/>
      <c r="C129" s="361"/>
      <c r="D129" s="361"/>
      <c r="E129" s="361"/>
      <c r="F129" s="361"/>
      <c r="G129" s="361"/>
      <c r="H129" s="361"/>
      <c r="I129" s="361"/>
      <c r="J129" s="361"/>
      <c r="K129" s="361"/>
      <c r="L129" s="108">
        <f>SUM(L15,L21,L27,L39,L49,L59,L70,L78,L86,L94,L103,L112,L121)</f>
        <v>0</v>
      </c>
      <c r="N129" s="3"/>
    </row>
    <row r="130" spans="1:18" hidden="1" outlineLevel="1">
      <c r="A130" s="418" t="s">
        <v>471</v>
      </c>
      <c r="B130" s="361"/>
      <c r="C130" s="361"/>
      <c r="D130" s="361"/>
      <c r="E130" s="361"/>
      <c r="F130" s="361"/>
      <c r="G130" s="361"/>
      <c r="H130" s="361"/>
      <c r="I130" s="361"/>
      <c r="J130" s="361"/>
      <c r="K130" s="361"/>
      <c r="L130" s="108">
        <f>SUM(L18+L24+L36+L46+L56+L67+L75+L83+L91+L100+L109+L118+L127)</f>
        <v>0</v>
      </c>
    </row>
    <row r="131" spans="1:18" hidden="1" outlineLevel="1">
      <c r="A131" s="418" t="s">
        <v>464</v>
      </c>
      <c r="B131" s="361"/>
      <c r="C131" s="361"/>
      <c r="D131" s="361"/>
      <c r="E131" s="361"/>
      <c r="F131" s="361"/>
      <c r="G131" s="361"/>
      <c r="H131" s="361"/>
      <c r="I131" s="361"/>
      <c r="J131" s="361"/>
      <c r="K131" s="361"/>
      <c r="L131" s="108">
        <f>L129+L130</f>
        <v>0</v>
      </c>
    </row>
    <row r="132" spans="1:18" ht="13.5" hidden="1" outlineLevel="1" thickBot="1">
      <c r="A132" s="418" t="s">
        <v>197</v>
      </c>
      <c r="B132" s="361"/>
      <c r="C132" s="361"/>
      <c r="D132" s="361"/>
      <c r="E132" s="361"/>
      <c r="F132" s="361"/>
      <c r="G132" s="361"/>
      <c r="H132" s="361"/>
      <c r="I132" s="361"/>
      <c r="J132" s="361"/>
      <c r="K132" s="361"/>
      <c r="L132" s="115">
        <f>'CO1'!M132</f>
        <v>0</v>
      </c>
    </row>
    <row r="133" spans="1:18" ht="14.45" customHeight="1">
      <c r="A133" s="419" t="s">
        <v>465</v>
      </c>
      <c r="B133" s="420"/>
      <c r="C133" s="420"/>
      <c r="D133" s="420"/>
      <c r="E133" s="420"/>
      <c r="F133" s="420"/>
      <c r="G133" s="420"/>
      <c r="H133" s="420"/>
      <c r="I133" s="420"/>
      <c r="J133" s="420"/>
      <c r="K133" s="420"/>
      <c r="L133" s="421"/>
    </row>
    <row r="134" spans="1:18" ht="26.1" customHeight="1">
      <c r="A134" s="405" t="s">
        <v>466</v>
      </c>
      <c r="B134" s="406"/>
      <c r="C134" s="406"/>
      <c r="D134" s="406"/>
      <c r="E134" s="406"/>
      <c r="F134" s="406"/>
      <c r="G134" s="406"/>
      <c r="H134" s="406"/>
      <c r="I134" s="406"/>
      <c r="J134" s="406"/>
      <c r="K134" s="406"/>
      <c r="L134" s="407"/>
    </row>
    <row r="135" spans="1:18" ht="30" customHeight="1">
      <c r="A135" s="412" t="s">
        <v>204</v>
      </c>
      <c r="B135" s="413"/>
      <c r="C135" s="413"/>
      <c r="D135" s="413"/>
      <c r="E135" s="413"/>
      <c r="F135" s="413"/>
      <c r="G135" s="414"/>
      <c r="H135" s="414"/>
      <c r="I135" s="414"/>
      <c r="J135" s="414"/>
      <c r="K135" s="190" t="s">
        <v>205</v>
      </c>
      <c r="L135" s="113"/>
    </row>
    <row r="136" spans="1:18" ht="30.75" customHeight="1">
      <c r="A136" s="412" t="s">
        <v>207</v>
      </c>
      <c r="B136" s="413"/>
      <c r="C136" s="413"/>
      <c r="D136" s="413"/>
      <c r="E136" s="413"/>
      <c r="F136" s="413"/>
      <c r="G136" s="414"/>
      <c r="H136" s="414"/>
      <c r="I136" s="414"/>
      <c r="J136" s="414"/>
      <c r="K136" s="190" t="s">
        <v>205</v>
      </c>
      <c r="L136" s="113"/>
    </row>
    <row r="137" spans="1:18" ht="31.5" customHeight="1" thickBot="1">
      <c r="A137" s="415" t="s">
        <v>467</v>
      </c>
      <c r="B137" s="416"/>
      <c r="C137" s="416"/>
      <c r="D137" s="416"/>
      <c r="E137" s="416"/>
      <c r="F137" s="416"/>
      <c r="G137" s="417"/>
      <c r="H137" s="417"/>
      <c r="I137" s="417"/>
      <c r="J137" s="417"/>
      <c r="K137" s="85" t="s">
        <v>205</v>
      </c>
      <c r="L137" s="114"/>
    </row>
    <row r="138" spans="1:18" ht="13.5" thickBot="1">
      <c r="A138" s="409" t="s">
        <v>209</v>
      </c>
      <c r="B138" s="410"/>
      <c r="C138" s="410"/>
      <c r="D138" s="410"/>
      <c r="E138" s="410"/>
      <c r="F138" s="410"/>
      <c r="G138" s="410"/>
      <c r="H138" s="410"/>
      <c r="I138" s="410"/>
      <c r="J138" s="410"/>
      <c r="K138" s="410"/>
      <c r="L138" s="411"/>
    </row>
    <row r="139" spans="1:18" s="1" customFormat="1" ht="11.25" customHeight="1">
      <c r="A139" s="2"/>
      <c r="B139" s="2"/>
      <c r="C139" s="2"/>
      <c r="D139" s="2"/>
      <c r="E139" s="2"/>
      <c r="F139" s="2"/>
      <c r="G139" s="2"/>
      <c r="I139"/>
      <c r="J139"/>
      <c r="K139"/>
      <c r="L139"/>
      <c r="M139"/>
      <c r="N139"/>
      <c r="O139"/>
      <c r="P139"/>
      <c r="Q139"/>
      <c r="R139"/>
    </row>
    <row r="140" spans="1:18" s="1" customFormat="1" ht="54.95" customHeight="1">
      <c r="A140" s="280" t="s">
        <v>468</v>
      </c>
      <c r="B140" s="280"/>
      <c r="C140" s="280"/>
      <c r="D140" s="280"/>
      <c r="E140" s="280"/>
      <c r="F140" s="280"/>
      <c r="G140" s="280"/>
      <c r="H140" s="280"/>
      <c r="I140" s="280"/>
      <c r="J140" s="280"/>
      <c r="K140" s="280"/>
      <c r="L140" s="280"/>
      <c r="M140"/>
      <c r="N140"/>
      <c r="O140"/>
      <c r="P140"/>
      <c r="Q140"/>
      <c r="R140"/>
    </row>
    <row r="146" spans="7:7">
      <c r="G146" s="35"/>
    </row>
  </sheetData>
  <sheetProtection algorithmName="SHA-512" hashValue="wrhfLZoAWgYlHqvES6kqZ6fjVcnFxeMgCW+7/Uyjk4RBaiPkkS1waBn5i3Hkomo8qrGKvT2UEqleDll4XVFuHQ==" saltValue="23/HYlQZIwGe0B1mbC8UwQ==" spinCount="100000" sheet="1" formatCells="0" formatColumns="0" formatRows="0"/>
  <mergeCells count="311">
    <mergeCell ref="A131:K131"/>
    <mergeCell ref="A11:L11"/>
    <mergeCell ref="A12:L12"/>
    <mergeCell ref="A13:L13"/>
    <mergeCell ref="A14:L14"/>
    <mergeCell ref="A1:L1"/>
    <mergeCell ref="A2:E2"/>
    <mergeCell ref="F2:G2"/>
    <mergeCell ref="H2:J2"/>
    <mergeCell ref="K2:L2"/>
    <mergeCell ref="A3:E3"/>
    <mergeCell ref="F3:G3"/>
    <mergeCell ref="H3:J3"/>
    <mergeCell ref="K3:L3"/>
    <mergeCell ref="A4:E4"/>
    <mergeCell ref="F4:G4"/>
    <mergeCell ref="H4:J4"/>
    <mergeCell ref="K4:L4"/>
    <mergeCell ref="A6:E6"/>
    <mergeCell ref="F6:G6"/>
    <mergeCell ref="H6:J6"/>
    <mergeCell ref="K6:L6"/>
    <mergeCell ref="A10:E10"/>
    <mergeCell ref="F10:G10"/>
    <mergeCell ref="H10:J10"/>
    <mergeCell ref="K10:L10"/>
    <mergeCell ref="A7:E7"/>
    <mergeCell ref="F7:G7"/>
    <mergeCell ref="H7:J7"/>
    <mergeCell ref="K7:L7"/>
    <mergeCell ref="A8:L8"/>
    <mergeCell ref="A9:E9"/>
    <mergeCell ref="F9:G9"/>
    <mergeCell ref="H9:J9"/>
    <mergeCell ref="K9:L9"/>
    <mergeCell ref="E23:F23"/>
    <mergeCell ref="H23:J23"/>
    <mergeCell ref="B24:K24"/>
    <mergeCell ref="B25:K25"/>
    <mergeCell ref="A26:L26"/>
    <mergeCell ref="B18:K18"/>
    <mergeCell ref="B19:K19"/>
    <mergeCell ref="A20:L20"/>
    <mergeCell ref="A21:A24"/>
    <mergeCell ref="B21:K21"/>
    <mergeCell ref="B22:D22"/>
    <mergeCell ref="E22:F22"/>
    <mergeCell ref="H22:J22"/>
    <mergeCell ref="B23:D23"/>
    <mergeCell ref="A15:A18"/>
    <mergeCell ref="B15:K15"/>
    <mergeCell ref="B16:D16"/>
    <mergeCell ref="E16:F16"/>
    <mergeCell ref="H16:J16"/>
    <mergeCell ref="B17:D17"/>
    <mergeCell ref="E17:F17"/>
    <mergeCell ref="H17:J17"/>
    <mergeCell ref="E35:K35"/>
    <mergeCell ref="L29:L35"/>
    <mergeCell ref="B30:D30"/>
    <mergeCell ref="E30:F30"/>
    <mergeCell ref="H30:J30"/>
    <mergeCell ref="B31:D31"/>
    <mergeCell ref="E31:F31"/>
    <mergeCell ref="H31:J31"/>
    <mergeCell ref="B32:D32"/>
    <mergeCell ref="E32:F32"/>
    <mergeCell ref="H32:J32"/>
    <mergeCell ref="B29:D29"/>
    <mergeCell ref="E29:F29"/>
    <mergeCell ref="H29:J29"/>
    <mergeCell ref="B33:D33"/>
    <mergeCell ref="E33:F33"/>
    <mergeCell ref="B36:K36"/>
    <mergeCell ref="B37:K37"/>
    <mergeCell ref="A38:L38"/>
    <mergeCell ref="A39:A46"/>
    <mergeCell ref="B39:K39"/>
    <mergeCell ref="B40:D40"/>
    <mergeCell ref="E40:F40"/>
    <mergeCell ref="H40:J40"/>
    <mergeCell ref="B41:D41"/>
    <mergeCell ref="A27:A36"/>
    <mergeCell ref="B27:K27"/>
    <mergeCell ref="B28:D28"/>
    <mergeCell ref="E28:F28"/>
    <mergeCell ref="H28:J28"/>
    <mergeCell ref="E44:F44"/>
    <mergeCell ref="H44:J44"/>
    <mergeCell ref="B45:D45"/>
    <mergeCell ref="E45:K45"/>
    <mergeCell ref="B46:K46"/>
    <mergeCell ref="H33:J33"/>
    <mergeCell ref="B34:D34"/>
    <mergeCell ref="E34:F34"/>
    <mergeCell ref="H34:J34"/>
    <mergeCell ref="B35:D35"/>
    <mergeCell ref="B47:K47"/>
    <mergeCell ref="E41:F41"/>
    <mergeCell ref="H41:J41"/>
    <mergeCell ref="L41:L45"/>
    <mergeCell ref="B42:D42"/>
    <mergeCell ref="E42:F42"/>
    <mergeCell ref="H42:J42"/>
    <mergeCell ref="B43:D43"/>
    <mergeCell ref="E43:F43"/>
    <mergeCell ref="H43:J43"/>
    <mergeCell ref="B44:D44"/>
    <mergeCell ref="A48:L48"/>
    <mergeCell ref="A49:A56"/>
    <mergeCell ref="B49:K49"/>
    <mergeCell ref="B50:D50"/>
    <mergeCell ref="E50:F50"/>
    <mergeCell ref="H50:J50"/>
    <mergeCell ref="B51:D51"/>
    <mergeCell ref="E51:F51"/>
    <mergeCell ref="H51:J51"/>
    <mergeCell ref="L51:L55"/>
    <mergeCell ref="B54:D54"/>
    <mergeCell ref="E54:F54"/>
    <mergeCell ref="H54:J54"/>
    <mergeCell ref="B55:D55"/>
    <mergeCell ref="E55:K55"/>
    <mergeCell ref="B56:K56"/>
    <mergeCell ref="B52:D52"/>
    <mergeCell ref="E52:F52"/>
    <mergeCell ref="H52:J52"/>
    <mergeCell ref="B53:D53"/>
    <mergeCell ref="E53:F53"/>
    <mergeCell ref="H53:J53"/>
    <mergeCell ref="B57:K57"/>
    <mergeCell ref="A58:L58"/>
    <mergeCell ref="A59:A67"/>
    <mergeCell ref="B59:K59"/>
    <mergeCell ref="B60:D60"/>
    <mergeCell ref="E60:F60"/>
    <mergeCell ref="H60:J60"/>
    <mergeCell ref="B61:D61"/>
    <mergeCell ref="E61:F61"/>
    <mergeCell ref="H64:J64"/>
    <mergeCell ref="B65:D65"/>
    <mergeCell ref="E65:F65"/>
    <mergeCell ref="H65:J65"/>
    <mergeCell ref="B66:D66"/>
    <mergeCell ref="E66:K66"/>
    <mergeCell ref="H61:J61"/>
    <mergeCell ref="L61:L66"/>
    <mergeCell ref="B62:D62"/>
    <mergeCell ref="E62:F62"/>
    <mergeCell ref="H62:J62"/>
    <mergeCell ref="B63:D63"/>
    <mergeCell ref="E63:F63"/>
    <mergeCell ref="H63:J63"/>
    <mergeCell ref="B64:D64"/>
    <mergeCell ref="E64:F64"/>
    <mergeCell ref="B67:K67"/>
    <mergeCell ref="B68:K68"/>
    <mergeCell ref="A69:L69"/>
    <mergeCell ref="A70:A75"/>
    <mergeCell ref="B70:K70"/>
    <mergeCell ref="B71:D71"/>
    <mergeCell ref="E71:F71"/>
    <mergeCell ref="H71:J71"/>
    <mergeCell ref="B72:D72"/>
    <mergeCell ref="E72:F72"/>
    <mergeCell ref="H72:J72"/>
    <mergeCell ref="L72:L74"/>
    <mergeCell ref="B73:D73"/>
    <mergeCell ref="E73:F73"/>
    <mergeCell ref="H73:J73"/>
    <mergeCell ref="B74:D74"/>
    <mergeCell ref="E74:F74"/>
    <mergeCell ref="H74:J74"/>
    <mergeCell ref="B75:K75"/>
    <mergeCell ref="B76:K76"/>
    <mergeCell ref="A77:L77"/>
    <mergeCell ref="A78:A83"/>
    <mergeCell ref="B78:K78"/>
    <mergeCell ref="B79:D79"/>
    <mergeCell ref="E79:F79"/>
    <mergeCell ref="H79:J79"/>
    <mergeCell ref="B80:D80"/>
    <mergeCell ref="E80:F80"/>
    <mergeCell ref="H80:J80"/>
    <mergeCell ref="L80:L82"/>
    <mergeCell ref="B81:D81"/>
    <mergeCell ref="E81:F81"/>
    <mergeCell ref="H81:J81"/>
    <mergeCell ref="B82:D82"/>
    <mergeCell ref="E82:F82"/>
    <mergeCell ref="H82:J82"/>
    <mergeCell ref="B83:K83"/>
    <mergeCell ref="B84:K84"/>
    <mergeCell ref="A85:L85"/>
    <mergeCell ref="A86:A91"/>
    <mergeCell ref="B86:K86"/>
    <mergeCell ref="B87:D87"/>
    <mergeCell ref="E87:F87"/>
    <mergeCell ref="H87:J87"/>
    <mergeCell ref="B88:D88"/>
    <mergeCell ref="E88:F88"/>
    <mergeCell ref="H88:J88"/>
    <mergeCell ref="L88:L90"/>
    <mergeCell ref="B89:D89"/>
    <mergeCell ref="E89:F89"/>
    <mergeCell ref="H89:J89"/>
    <mergeCell ref="B90:D90"/>
    <mergeCell ref="E90:F90"/>
    <mergeCell ref="H90:J90"/>
    <mergeCell ref="B91:K91"/>
    <mergeCell ref="B92:K92"/>
    <mergeCell ref="A93:L93"/>
    <mergeCell ref="A94:A100"/>
    <mergeCell ref="B94:K94"/>
    <mergeCell ref="B95:D95"/>
    <mergeCell ref="E95:F95"/>
    <mergeCell ref="H95:J95"/>
    <mergeCell ref="B96:D96"/>
    <mergeCell ref="E96:F96"/>
    <mergeCell ref="H96:J96"/>
    <mergeCell ref="L96:L99"/>
    <mergeCell ref="B97:D97"/>
    <mergeCell ref="E97:F97"/>
    <mergeCell ref="H97:J97"/>
    <mergeCell ref="B98:D98"/>
    <mergeCell ref="E98:F98"/>
    <mergeCell ref="H98:J98"/>
    <mergeCell ref="B99:D99"/>
    <mergeCell ref="E99:K99"/>
    <mergeCell ref="B100:K100"/>
    <mergeCell ref="B101:K101"/>
    <mergeCell ref="A102:L102"/>
    <mergeCell ref="A103:A109"/>
    <mergeCell ref="B103:K103"/>
    <mergeCell ref="B104:D104"/>
    <mergeCell ref="E104:F104"/>
    <mergeCell ref="H104:J104"/>
    <mergeCell ref="B107:D107"/>
    <mergeCell ref="E107:F107"/>
    <mergeCell ref="H107:J107"/>
    <mergeCell ref="B108:D108"/>
    <mergeCell ref="E108:F108"/>
    <mergeCell ref="H108:J108"/>
    <mergeCell ref="B105:D105"/>
    <mergeCell ref="E105:F105"/>
    <mergeCell ref="H105:J105"/>
    <mergeCell ref="B106:D106"/>
    <mergeCell ref="E106:F106"/>
    <mergeCell ref="H106:J106"/>
    <mergeCell ref="B109:K109"/>
    <mergeCell ref="L105:L108"/>
    <mergeCell ref="B110:K110"/>
    <mergeCell ref="A111:L111"/>
    <mergeCell ref="A112:A118"/>
    <mergeCell ref="B112:K112"/>
    <mergeCell ref="B113:D113"/>
    <mergeCell ref="E113:F113"/>
    <mergeCell ref="H113:J113"/>
    <mergeCell ref="B114:D114"/>
    <mergeCell ref="B127:K127"/>
    <mergeCell ref="E117:F117"/>
    <mergeCell ref="H117:J117"/>
    <mergeCell ref="B118:K118"/>
    <mergeCell ref="B119:K119"/>
    <mergeCell ref="A120:L120"/>
    <mergeCell ref="E114:F114"/>
    <mergeCell ref="H114:J114"/>
    <mergeCell ref="L114:L117"/>
    <mergeCell ref="B115:D115"/>
    <mergeCell ref="E115:F115"/>
    <mergeCell ref="H115:J115"/>
    <mergeCell ref="B116:D116"/>
    <mergeCell ref="E116:F116"/>
    <mergeCell ref="H116:J116"/>
    <mergeCell ref="B117:D117"/>
    <mergeCell ref="H125:J125"/>
    <mergeCell ref="B126:D126"/>
    <mergeCell ref="E126:F126"/>
    <mergeCell ref="H126:J126"/>
    <mergeCell ref="A121:A127"/>
    <mergeCell ref="B122:D122"/>
    <mergeCell ref="E122:F122"/>
    <mergeCell ref="H122:J122"/>
    <mergeCell ref="B123:D123"/>
    <mergeCell ref="E123:F123"/>
    <mergeCell ref="H123:J123"/>
    <mergeCell ref="B121:K121"/>
    <mergeCell ref="A5:E5"/>
    <mergeCell ref="F5:G5"/>
    <mergeCell ref="H5:J5"/>
    <mergeCell ref="K5:L5"/>
    <mergeCell ref="A137:F137"/>
    <mergeCell ref="G137:J137"/>
    <mergeCell ref="A138:L138"/>
    <mergeCell ref="A140:L140"/>
    <mergeCell ref="A133:L133"/>
    <mergeCell ref="A134:L134"/>
    <mergeCell ref="A135:F135"/>
    <mergeCell ref="G135:J135"/>
    <mergeCell ref="A136:F136"/>
    <mergeCell ref="G136:J136"/>
    <mergeCell ref="B128:K128"/>
    <mergeCell ref="A129:K129"/>
    <mergeCell ref="A130:K130"/>
    <mergeCell ref="A132:K132"/>
    <mergeCell ref="L123:L126"/>
    <mergeCell ref="B124:D124"/>
    <mergeCell ref="E124:F124"/>
    <mergeCell ref="H124:J124"/>
    <mergeCell ref="B125:D125"/>
    <mergeCell ref="E125:F125"/>
  </mergeCells>
  <dataValidations count="1">
    <dataValidation operator="lessThan" allowBlank="1" showInputMessage="1" showErrorMessage="1" sqref="L5:L105 C1:L4 C5:K120 L109:L1048576 C122:K1048576 A1:B1048576" xr:uid="{384D6A3F-5864-4212-8AF6-C0C2BE493B13}"/>
  </dataValidations>
  <pageMargins left="0.7" right="0.7" top="0.75" bottom="0.75" header="0.3" footer="0.3"/>
  <pageSetup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F85C03-F10E-4E57-B0C8-8B3A8CB86E90}">
  <sheetPr>
    <outlinePr summaryBelow="0"/>
  </sheetPr>
  <dimension ref="A1:R146"/>
  <sheetViews>
    <sheetView workbookViewId="0">
      <selection activeCell="A139" sqref="A139"/>
    </sheetView>
  </sheetViews>
  <sheetFormatPr defaultRowHeight="12.95" outlineLevelRow="2"/>
  <cols>
    <col min="1" max="1" width="2" style="34" customWidth="1"/>
    <col min="2" max="2" width="12.6640625" style="34" customWidth="1"/>
    <col min="3" max="3" width="2.1640625" style="34" customWidth="1"/>
    <col min="4" max="4" width="3.33203125" style="34" customWidth="1"/>
    <col min="5" max="5" width="4.83203125" style="34" customWidth="1"/>
    <col min="6" max="6" width="12.83203125" style="34" customWidth="1"/>
    <col min="7" max="7" width="29.6640625" style="34" customWidth="1"/>
    <col min="8" max="8" width="9.6640625" style="34" customWidth="1"/>
    <col min="9" max="9" width="15.5" style="34" customWidth="1"/>
    <col min="10" max="10" width="3.83203125" style="34" customWidth="1"/>
    <col min="11" max="12" width="18" style="34" customWidth="1"/>
  </cols>
  <sheetData>
    <row r="1" spans="1:12" ht="18.600000000000001">
      <c r="A1" s="342" t="s">
        <v>394</v>
      </c>
      <c r="B1" s="343"/>
      <c r="C1" s="343"/>
      <c r="D1" s="343"/>
      <c r="E1" s="343"/>
      <c r="F1" s="343"/>
      <c r="G1" s="343"/>
      <c r="H1" s="343"/>
      <c r="I1" s="343"/>
      <c r="J1" s="343"/>
      <c r="K1" s="343"/>
      <c r="L1" s="344"/>
    </row>
    <row r="2" spans="1:12">
      <c r="A2" s="345" t="s">
        <v>395</v>
      </c>
      <c r="B2" s="346"/>
      <c r="C2" s="346"/>
      <c r="D2" s="346"/>
      <c r="E2" s="346"/>
      <c r="F2" s="347" t="str">
        <f>IF('11.17'!D2="","",'11.17'!D2)</f>
        <v>Program:</v>
      </c>
      <c r="G2" s="347"/>
      <c r="H2" s="348" t="s">
        <v>396</v>
      </c>
      <c r="I2" s="348"/>
      <c r="J2" s="349"/>
      <c r="K2" s="350" t="s">
        <v>472</v>
      </c>
      <c r="L2" s="351"/>
    </row>
    <row r="3" spans="1:12">
      <c r="A3" s="300" t="s">
        <v>97</v>
      </c>
      <c r="B3" s="301"/>
      <c r="C3" s="301"/>
      <c r="D3" s="301"/>
      <c r="E3" s="302"/>
      <c r="F3" s="303" t="str">
        <f>IF('11.17'!C6="","",'11.17'!C6)</f>
        <v/>
      </c>
      <c r="G3" s="303"/>
      <c r="H3" s="301" t="s">
        <v>99</v>
      </c>
      <c r="I3" s="301"/>
      <c r="J3" s="302"/>
      <c r="K3" s="352" t="str">
        <f>IF('11.17'!C7="","",'11.17'!C7)</f>
        <v/>
      </c>
      <c r="L3" s="353"/>
    </row>
    <row r="4" spans="1:12">
      <c r="A4" s="300" t="s">
        <v>398</v>
      </c>
      <c r="B4" s="301"/>
      <c r="C4" s="301"/>
      <c r="D4" s="301"/>
      <c r="E4" s="302"/>
      <c r="F4" s="303" t="str">
        <f>IF('11.17'!G6="SELECT FROM DROP DOWN","",'11.17'!G6)</f>
        <v/>
      </c>
      <c r="G4" s="303"/>
      <c r="H4" s="301" t="s">
        <v>100</v>
      </c>
      <c r="I4" s="301"/>
      <c r="J4" s="302"/>
      <c r="K4" s="303" t="str">
        <f>IF('11.17'!G7="","",'11.17'!G7)</f>
        <v/>
      </c>
      <c r="L4" s="304"/>
    </row>
    <row r="5" spans="1:12" ht="27.6" customHeight="1">
      <c r="A5" s="337" t="s">
        <v>96</v>
      </c>
      <c r="B5" s="338"/>
      <c r="C5" s="338"/>
      <c r="D5" s="338"/>
      <c r="E5" s="339"/>
      <c r="F5" s="340" t="str">
        <f>IF('11.17'!G7="SELECT FROM DROP DOWN","",'11.17'!G7)</f>
        <v/>
      </c>
      <c r="G5" s="340"/>
      <c r="H5" s="338" t="s">
        <v>399</v>
      </c>
      <c r="I5" s="338"/>
      <c r="J5" s="339"/>
      <c r="K5" s="340" t="str">
        <f>IF('11.17'!G8="","",'11.17'!G8)</f>
        <v/>
      </c>
      <c r="L5" s="341"/>
    </row>
    <row r="6" spans="1:12">
      <c r="A6" s="300" t="s">
        <v>88</v>
      </c>
      <c r="B6" s="301"/>
      <c r="C6" s="301"/>
      <c r="D6" s="301"/>
      <c r="E6" s="302"/>
      <c r="F6" s="303" t="str">
        <f>IF('11.17'!C2="","",'11.17'!C2)</f>
        <v/>
      </c>
      <c r="G6" s="303"/>
      <c r="H6" s="301" t="s">
        <v>92</v>
      </c>
      <c r="I6" s="301"/>
      <c r="J6" s="302"/>
      <c r="K6" s="303" t="str">
        <f>IF('11.17'!C4="","",'11.17'!C4)</f>
        <v/>
      </c>
      <c r="L6" s="304"/>
    </row>
    <row r="7" spans="1:12" ht="28.5" customHeight="1" thickBot="1">
      <c r="A7" s="305" t="s">
        <v>400</v>
      </c>
      <c r="B7" s="306"/>
      <c r="C7" s="306"/>
      <c r="D7" s="306"/>
      <c r="E7" s="306"/>
      <c r="F7" s="307">
        <f>'CO2'!L131</f>
        <v>0</v>
      </c>
      <c r="G7" s="307"/>
      <c r="H7" s="308" t="s">
        <v>401</v>
      </c>
      <c r="I7" s="309"/>
      <c r="J7" s="309"/>
      <c r="K7" s="310"/>
      <c r="L7" s="311"/>
    </row>
    <row r="8" spans="1:12" ht="15" collapsed="1" thickBot="1">
      <c r="A8" s="330" t="s">
        <v>402</v>
      </c>
      <c r="B8" s="331"/>
      <c r="C8" s="331"/>
      <c r="D8" s="331"/>
      <c r="E8" s="331"/>
      <c r="F8" s="331"/>
      <c r="G8" s="331"/>
      <c r="H8" s="331"/>
      <c r="I8" s="331"/>
      <c r="J8" s="331"/>
      <c r="K8" s="331"/>
      <c r="L8" s="332"/>
    </row>
    <row r="9" spans="1:12" ht="28.5" hidden="1" customHeight="1" outlineLevel="1">
      <c r="A9" s="333" t="s">
        <v>403</v>
      </c>
      <c r="B9" s="334"/>
      <c r="C9" s="334"/>
      <c r="D9" s="334"/>
      <c r="E9" s="334"/>
      <c r="F9" s="335"/>
      <c r="G9" s="335"/>
      <c r="H9" s="334" t="s">
        <v>404</v>
      </c>
      <c r="I9" s="334"/>
      <c r="J9" s="334"/>
      <c r="K9" s="335"/>
      <c r="L9" s="336"/>
    </row>
    <row r="10" spans="1:12" ht="26.25" hidden="1" customHeight="1" outlineLevel="1">
      <c r="A10" s="312" t="s">
        <v>405</v>
      </c>
      <c r="B10" s="313"/>
      <c r="C10" s="313"/>
      <c r="D10" s="313"/>
      <c r="E10" s="314"/>
      <c r="F10" s="315"/>
      <c r="G10" s="315"/>
      <c r="H10" s="316" t="s">
        <v>406</v>
      </c>
      <c r="I10" s="316"/>
      <c r="J10" s="316"/>
      <c r="K10" s="315"/>
      <c r="L10" s="317"/>
    </row>
    <row r="11" spans="1:12" ht="17.25" hidden="1" customHeight="1" outlineLevel="1">
      <c r="A11" s="318" t="s">
        <v>407</v>
      </c>
      <c r="B11" s="316"/>
      <c r="C11" s="316"/>
      <c r="D11" s="316"/>
      <c r="E11" s="316"/>
      <c r="F11" s="316"/>
      <c r="G11" s="316"/>
      <c r="H11" s="316"/>
      <c r="I11" s="316"/>
      <c r="J11" s="316"/>
      <c r="K11" s="316"/>
      <c r="L11" s="319"/>
    </row>
    <row r="12" spans="1:12" ht="42" hidden="1" customHeight="1" outlineLevel="1" thickBot="1">
      <c r="A12" s="320"/>
      <c r="B12" s="321"/>
      <c r="C12" s="321"/>
      <c r="D12" s="321"/>
      <c r="E12" s="321"/>
      <c r="F12" s="321"/>
      <c r="G12" s="321"/>
      <c r="H12" s="321"/>
      <c r="I12" s="321"/>
      <c r="J12" s="321"/>
      <c r="K12" s="321"/>
      <c r="L12" s="322"/>
    </row>
    <row r="13" spans="1:12" ht="15" collapsed="1" thickBot="1">
      <c r="A13" s="323" t="s">
        <v>408</v>
      </c>
      <c r="B13" s="324"/>
      <c r="C13" s="324"/>
      <c r="D13" s="324"/>
      <c r="E13" s="324"/>
      <c r="F13" s="324"/>
      <c r="G13" s="324"/>
      <c r="H13" s="324"/>
      <c r="I13" s="324"/>
      <c r="J13" s="324"/>
      <c r="K13" s="324"/>
      <c r="L13" s="325"/>
    </row>
    <row r="14" spans="1:12" hidden="1" outlineLevel="1" collapsed="1">
      <c r="A14" s="326" t="s">
        <v>409</v>
      </c>
      <c r="B14" s="326"/>
      <c r="C14" s="326"/>
      <c r="D14" s="326"/>
      <c r="E14" s="326"/>
      <c r="F14" s="326"/>
      <c r="G14" s="326"/>
      <c r="H14" s="326"/>
      <c r="I14" s="326"/>
      <c r="J14" s="326"/>
      <c r="K14" s="326"/>
      <c r="L14" s="326"/>
    </row>
    <row r="15" spans="1:12" hidden="1" outlineLevel="2">
      <c r="A15" s="285" t="s">
        <v>103</v>
      </c>
      <c r="B15" s="284" t="s">
        <v>410</v>
      </c>
      <c r="C15" s="284"/>
      <c r="D15" s="284"/>
      <c r="E15" s="284"/>
      <c r="F15" s="284"/>
      <c r="G15" s="284"/>
      <c r="H15" s="284"/>
      <c r="I15" s="284"/>
      <c r="J15" s="284"/>
      <c r="K15" s="284"/>
      <c r="L15" s="108">
        <f>'CO2'!L19</f>
        <v>0</v>
      </c>
    </row>
    <row r="16" spans="1:12" ht="39" hidden="1" outlineLevel="2">
      <c r="A16" s="287"/>
      <c r="B16" s="327" t="s">
        <v>411</v>
      </c>
      <c r="C16" s="328"/>
      <c r="D16" s="329"/>
      <c r="E16" s="327" t="s">
        <v>412</v>
      </c>
      <c r="F16" s="329"/>
      <c r="G16" s="191" t="s">
        <v>413</v>
      </c>
      <c r="H16" s="327" t="s">
        <v>414</v>
      </c>
      <c r="I16" s="328"/>
      <c r="J16" s="329"/>
      <c r="K16" s="191" t="s">
        <v>415</v>
      </c>
      <c r="L16" s="191" t="s">
        <v>109</v>
      </c>
    </row>
    <row r="17" spans="1:12" hidden="1" outlineLevel="2">
      <c r="A17" s="287"/>
      <c r="B17" s="362">
        <f>'CO2'!L19</f>
        <v>0</v>
      </c>
      <c r="C17" s="363"/>
      <c r="D17" s="364"/>
      <c r="E17" s="365"/>
      <c r="F17" s="366"/>
      <c r="G17" s="111"/>
      <c r="H17" s="357"/>
      <c r="I17" s="358"/>
      <c r="J17" s="359"/>
      <c r="K17" s="107">
        <f>IF(E17="",0,E17-B17)</f>
        <v>0</v>
      </c>
      <c r="L17" s="193"/>
    </row>
    <row r="18" spans="1:12" hidden="1" outlineLevel="1" collapsed="1">
      <c r="A18" s="289"/>
      <c r="B18" s="284" t="s">
        <v>416</v>
      </c>
      <c r="C18" s="284"/>
      <c r="D18" s="284"/>
      <c r="E18" s="284"/>
      <c r="F18" s="284"/>
      <c r="G18" s="284"/>
      <c r="H18" s="284"/>
      <c r="I18" s="284"/>
      <c r="J18" s="284"/>
      <c r="K18" s="284"/>
      <c r="L18" s="108">
        <f>K17</f>
        <v>0</v>
      </c>
    </row>
    <row r="19" spans="1:12" hidden="1" outlineLevel="1">
      <c r="A19" s="193"/>
      <c r="B19" s="284" t="s">
        <v>417</v>
      </c>
      <c r="C19" s="284"/>
      <c r="D19" s="284"/>
      <c r="E19" s="284"/>
      <c r="F19" s="284"/>
      <c r="G19" s="284"/>
      <c r="H19" s="284"/>
      <c r="I19" s="284"/>
      <c r="J19" s="284"/>
      <c r="K19" s="284"/>
      <c r="L19" s="108">
        <f>L15+L18</f>
        <v>0</v>
      </c>
    </row>
    <row r="20" spans="1:12" hidden="1" outlineLevel="1" collapsed="1">
      <c r="A20" s="361" t="s">
        <v>418</v>
      </c>
      <c r="B20" s="361"/>
      <c r="C20" s="361"/>
      <c r="D20" s="361"/>
      <c r="E20" s="361"/>
      <c r="F20" s="361"/>
      <c r="G20" s="361"/>
      <c r="H20" s="361"/>
      <c r="I20" s="361"/>
      <c r="J20" s="361"/>
      <c r="K20" s="361"/>
      <c r="L20" s="361"/>
    </row>
    <row r="21" spans="1:12" hidden="1" outlineLevel="2">
      <c r="A21" s="285" t="s">
        <v>103</v>
      </c>
      <c r="B21" s="284" t="s">
        <v>419</v>
      </c>
      <c r="C21" s="284"/>
      <c r="D21" s="284"/>
      <c r="E21" s="284"/>
      <c r="F21" s="284"/>
      <c r="G21" s="284"/>
      <c r="H21" s="284"/>
      <c r="I21" s="284"/>
      <c r="J21" s="284"/>
      <c r="K21" s="284"/>
      <c r="L21" s="108">
        <f>'CO2'!L25</f>
        <v>0</v>
      </c>
    </row>
    <row r="22" spans="1:12" ht="39" hidden="1" outlineLevel="2">
      <c r="A22" s="287"/>
      <c r="B22" s="296" t="s">
        <v>411</v>
      </c>
      <c r="C22" s="296"/>
      <c r="D22" s="296"/>
      <c r="E22" s="296" t="s">
        <v>412</v>
      </c>
      <c r="F22" s="296"/>
      <c r="G22" s="191" t="s">
        <v>413</v>
      </c>
      <c r="H22" s="296" t="s">
        <v>414</v>
      </c>
      <c r="I22" s="296"/>
      <c r="J22" s="296"/>
      <c r="K22" s="191" t="s">
        <v>415</v>
      </c>
      <c r="L22" s="191" t="s">
        <v>109</v>
      </c>
    </row>
    <row r="23" spans="1:12" hidden="1" outlineLevel="2">
      <c r="A23" s="287"/>
      <c r="B23" s="354">
        <f>'CO2'!L25</f>
        <v>0</v>
      </c>
      <c r="C23" s="355"/>
      <c r="D23" s="355"/>
      <c r="E23" s="356"/>
      <c r="F23" s="356"/>
      <c r="G23" s="32"/>
      <c r="H23" s="356"/>
      <c r="I23" s="356"/>
      <c r="J23" s="356"/>
      <c r="K23" s="109">
        <f>IF(E23="",0,E23-B23)</f>
        <v>0</v>
      </c>
      <c r="L23" s="74"/>
    </row>
    <row r="24" spans="1:12" hidden="1" outlineLevel="1" collapsed="1">
      <c r="A24" s="289"/>
      <c r="B24" s="284" t="s">
        <v>420</v>
      </c>
      <c r="C24" s="284"/>
      <c r="D24" s="284"/>
      <c r="E24" s="284"/>
      <c r="F24" s="284"/>
      <c r="G24" s="284"/>
      <c r="H24" s="284"/>
      <c r="I24" s="284"/>
      <c r="J24" s="284"/>
      <c r="K24" s="284"/>
      <c r="L24" s="108">
        <f>K23</f>
        <v>0</v>
      </c>
    </row>
    <row r="25" spans="1:12" hidden="1" outlineLevel="1">
      <c r="A25" s="193"/>
      <c r="B25" s="284" t="s">
        <v>421</v>
      </c>
      <c r="C25" s="284"/>
      <c r="D25" s="284"/>
      <c r="E25" s="284"/>
      <c r="F25" s="284"/>
      <c r="G25" s="284"/>
      <c r="H25" s="284"/>
      <c r="I25" s="284"/>
      <c r="J25" s="284"/>
      <c r="K25" s="284"/>
      <c r="L25" s="108">
        <f>L21+L24</f>
        <v>0</v>
      </c>
    </row>
    <row r="26" spans="1:12" hidden="1" outlineLevel="1" collapsed="1">
      <c r="A26" s="295" t="s">
        <v>118</v>
      </c>
      <c r="B26" s="295"/>
      <c r="C26" s="295"/>
      <c r="D26" s="295"/>
      <c r="E26" s="295"/>
      <c r="F26" s="295"/>
      <c r="G26" s="295"/>
      <c r="H26" s="295"/>
      <c r="I26" s="295"/>
      <c r="J26" s="295"/>
      <c r="K26" s="295"/>
      <c r="L26" s="295"/>
    </row>
    <row r="27" spans="1:12" hidden="1" outlineLevel="2">
      <c r="A27" s="367" t="s">
        <v>119</v>
      </c>
      <c r="B27" s="284" t="s">
        <v>422</v>
      </c>
      <c r="C27" s="284"/>
      <c r="D27" s="284"/>
      <c r="E27" s="284"/>
      <c r="F27" s="284"/>
      <c r="G27" s="284"/>
      <c r="H27" s="284"/>
      <c r="I27" s="284"/>
      <c r="J27" s="284"/>
      <c r="K27" s="284"/>
      <c r="L27" s="108">
        <f>'CO2'!L37</f>
        <v>0</v>
      </c>
    </row>
    <row r="28" spans="1:12" ht="39" hidden="1" outlineLevel="2">
      <c r="A28" s="369"/>
      <c r="B28" s="296" t="s">
        <v>470</v>
      </c>
      <c r="C28" s="296"/>
      <c r="D28" s="296"/>
      <c r="E28" s="296" t="s">
        <v>412</v>
      </c>
      <c r="F28" s="296"/>
      <c r="G28" s="191" t="s">
        <v>424</v>
      </c>
      <c r="H28" s="278" t="s">
        <v>414</v>
      </c>
      <c r="I28" s="278"/>
      <c r="J28" s="278"/>
      <c r="K28" s="191" t="s">
        <v>415</v>
      </c>
      <c r="L28" s="84" t="s">
        <v>109</v>
      </c>
    </row>
    <row r="29" spans="1:12" hidden="1" outlineLevel="2">
      <c r="A29" s="369"/>
      <c r="B29" s="281"/>
      <c r="C29" s="281"/>
      <c r="D29" s="281"/>
      <c r="E29" s="281"/>
      <c r="F29" s="281"/>
      <c r="G29" s="189"/>
      <c r="H29" s="282"/>
      <c r="I29" s="282"/>
      <c r="J29" s="282"/>
      <c r="K29" s="107">
        <f t="shared" ref="K29:K34" si="0">E29-B29</f>
        <v>0</v>
      </c>
      <c r="L29" s="373"/>
    </row>
    <row r="30" spans="1:12" hidden="1" outlineLevel="2">
      <c r="A30" s="369"/>
      <c r="B30" s="281"/>
      <c r="C30" s="281"/>
      <c r="D30" s="281"/>
      <c r="E30" s="281"/>
      <c r="F30" s="281"/>
      <c r="G30" s="189"/>
      <c r="H30" s="283"/>
      <c r="I30" s="283"/>
      <c r="J30" s="283"/>
      <c r="K30" s="107">
        <f t="shared" si="0"/>
        <v>0</v>
      </c>
      <c r="L30" s="374"/>
    </row>
    <row r="31" spans="1:12" hidden="1" outlineLevel="2">
      <c r="A31" s="369"/>
      <c r="B31" s="281"/>
      <c r="C31" s="281"/>
      <c r="D31" s="281"/>
      <c r="E31" s="281"/>
      <c r="F31" s="281"/>
      <c r="G31" s="189"/>
      <c r="H31" s="282"/>
      <c r="I31" s="282"/>
      <c r="J31" s="282"/>
      <c r="K31" s="107">
        <f t="shared" si="0"/>
        <v>0</v>
      </c>
      <c r="L31" s="374"/>
    </row>
    <row r="32" spans="1:12" hidden="1" outlineLevel="2">
      <c r="A32" s="369"/>
      <c r="B32" s="281"/>
      <c r="C32" s="281"/>
      <c r="D32" s="281"/>
      <c r="E32" s="281"/>
      <c r="F32" s="281"/>
      <c r="G32" s="189"/>
      <c r="H32" s="283"/>
      <c r="I32" s="283"/>
      <c r="J32" s="283"/>
      <c r="K32" s="107">
        <f t="shared" si="0"/>
        <v>0</v>
      </c>
      <c r="L32" s="374"/>
    </row>
    <row r="33" spans="1:12" hidden="1" outlineLevel="2">
      <c r="A33" s="369"/>
      <c r="B33" s="281"/>
      <c r="C33" s="281"/>
      <c r="D33" s="281"/>
      <c r="E33" s="281"/>
      <c r="F33" s="281"/>
      <c r="G33" s="189"/>
      <c r="H33" s="282"/>
      <c r="I33" s="282"/>
      <c r="J33" s="282"/>
      <c r="K33" s="107">
        <f t="shared" si="0"/>
        <v>0</v>
      </c>
      <c r="L33" s="374"/>
    </row>
    <row r="34" spans="1:12" hidden="1" outlineLevel="2">
      <c r="A34" s="369"/>
      <c r="B34" s="281"/>
      <c r="C34" s="281"/>
      <c r="D34" s="281"/>
      <c r="E34" s="281"/>
      <c r="F34" s="281"/>
      <c r="G34" s="189"/>
      <c r="H34" s="283"/>
      <c r="I34" s="283"/>
      <c r="J34" s="283"/>
      <c r="K34" s="107">
        <f t="shared" si="0"/>
        <v>0</v>
      </c>
      <c r="L34" s="374"/>
    </row>
    <row r="35" spans="1:12" hidden="1" outlineLevel="2">
      <c r="A35" s="369"/>
      <c r="B35" s="376" t="s">
        <v>425</v>
      </c>
      <c r="C35" s="376"/>
      <c r="D35" s="376"/>
      <c r="E35" s="377"/>
      <c r="F35" s="377"/>
      <c r="G35" s="377"/>
      <c r="H35" s="377"/>
      <c r="I35" s="377"/>
      <c r="J35" s="377"/>
      <c r="K35" s="377"/>
      <c r="L35" s="375"/>
    </row>
    <row r="36" spans="1:12" hidden="1" outlineLevel="1" collapsed="1">
      <c r="A36" s="371"/>
      <c r="B36" s="284" t="s">
        <v>426</v>
      </c>
      <c r="C36" s="284"/>
      <c r="D36" s="284"/>
      <c r="E36" s="284"/>
      <c r="F36" s="284"/>
      <c r="G36" s="284"/>
      <c r="H36" s="284"/>
      <c r="I36" s="284"/>
      <c r="J36" s="284"/>
      <c r="K36" s="284"/>
      <c r="L36" s="108">
        <f>SUM(K29:K34)</f>
        <v>0</v>
      </c>
    </row>
    <row r="37" spans="1:12" hidden="1" outlineLevel="1">
      <c r="A37" s="195"/>
      <c r="B37" s="284" t="s">
        <v>427</v>
      </c>
      <c r="C37" s="284"/>
      <c r="D37" s="284"/>
      <c r="E37" s="284"/>
      <c r="F37" s="284"/>
      <c r="G37" s="284"/>
      <c r="H37" s="284"/>
      <c r="I37" s="284"/>
      <c r="J37" s="284"/>
      <c r="K37" s="284"/>
      <c r="L37" s="108">
        <f>L27+L36</f>
        <v>0</v>
      </c>
    </row>
    <row r="38" spans="1:12" hidden="1" outlineLevel="1" collapsed="1">
      <c r="A38" s="295" t="s">
        <v>127</v>
      </c>
      <c r="B38" s="295"/>
      <c r="C38" s="295"/>
      <c r="D38" s="295"/>
      <c r="E38" s="295"/>
      <c r="F38" s="295"/>
      <c r="G38" s="295"/>
      <c r="H38" s="295"/>
      <c r="I38" s="295"/>
      <c r="J38" s="295"/>
      <c r="K38" s="295"/>
      <c r="L38" s="295"/>
    </row>
    <row r="39" spans="1:12" hidden="1" outlineLevel="2">
      <c r="A39" s="380" t="s">
        <v>103</v>
      </c>
      <c r="B39" s="284" t="s">
        <v>428</v>
      </c>
      <c r="C39" s="284"/>
      <c r="D39" s="284"/>
      <c r="E39" s="284"/>
      <c r="F39" s="284"/>
      <c r="G39" s="284"/>
      <c r="H39" s="284"/>
      <c r="I39" s="284"/>
      <c r="J39" s="284"/>
      <c r="K39" s="284"/>
      <c r="L39" s="108">
        <f>'CO2'!L47</f>
        <v>0</v>
      </c>
    </row>
    <row r="40" spans="1:12" ht="38.25" hidden="1" customHeight="1" outlineLevel="2">
      <c r="A40" s="382"/>
      <c r="B40" s="296" t="s">
        <v>470</v>
      </c>
      <c r="C40" s="296"/>
      <c r="D40" s="296"/>
      <c r="E40" s="296" t="s">
        <v>412</v>
      </c>
      <c r="F40" s="296"/>
      <c r="G40" s="191" t="s">
        <v>413</v>
      </c>
      <c r="H40" s="296" t="s">
        <v>414</v>
      </c>
      <c r="I40" s="296"/>
      <c r="J40" s="296"/>
      <c r="K40" s="191" t="s">
        <v>415</v>
      </c>
      <c r="L40" s="84" t="s">
        <v>109</v>
      </c>
    </row>
    <row r="41" spans="1:12" hidden="1" outlineLevel="2">
      <c r="A41" s="382"/>
      <c r="B41" s="297"/>
      <c r="C41" s="297"/>
      <c r="D41" s="297"/>
      <c r="E41" s="297"/>
      <c r="F41" s="297"/>
      <c r="G41" s="189"/>
      <c r="H41" s="378"/>
      <c r="I41" s="378"/>
      <c r="J41" s="378"/>
      <c r="K41" s="107">
        <f>E41-B41</f>
        <v>0</v>
      </c>
      <c r="L41" s="379"/>
    </row>
    <row r="42" spans="1:12" hidden="1" outlineLevel="2">
      <c r="A42" s="382"/>
      <c r="B42" s="297"/>
      <c r="C42" s="297"/>
      <c r="D42" s="297"/>
      <c r="E42" s="297"/>
      <c r="F42" s="297"/>
      <c r="G42" s="189"/>
      <c r="H42" s="378"/>
      <c r="I42" s="378"/>
      <c r="J42" s="378"/>
      <c r="K42" s="107">
        <f>E42-B42</f>
        <v>0</v>
      </c>
      <c r="L42" s="379"/>
    </row>
    <row r="43" spans="1:12" hidden="1" outlineLevel="2">
      <c r="A43" s="382"/>
      <c r="B43" s="297"/>
      <c r="C43" s="297"/>
      <c r="D43" s="297"/>
      <c r="E43" s="297"/>
      <c r="F43" s="297"/>
      <c r="G43" s="189"/>
      <c r="H43" s="283"/>
      <c r="I43" s="283"/>
      <c r="J43" s="283"/>
      <c r="K43" s="107">
        <f>E43-B43</f>
        <v>0</v>
      </c>
      <c r="L43" s="379"/>
    </row>
    <row r="44" spans="1:12" hidden="1" outlineLevel="2">
      <c r="A44" s="382"/>
      <c r="B44" s="297"/>
      <c r="C44" s="297"/>
      <c r="D44" s="297"/>
      <c r="E44" s="297"/>
      <c r="F44" s="297"/>
      <c r="G44" s="189"/>
      <c r="H44" s="283"/>
      <c r="I44" s="283"/>
      <c r="J44" s="283"/>
      <c r="K44" s="107">
        <f>E44-B44</f>
        <v>0</v>
      </c>
      <c r="L44" s="379"/>
    </row>
    <row r="45" spans="1:12" hidden="1" outlineLevel="2">
      <c r="A45" s="382"/>
      <c r="B45" s="376" t="s">
        <v>425</v>
      </c>
      <c r="C45" s="376"/>
      <c r="D45" s="376"/>
      <c r="E45" s="377"/>
      <c r="F45" s="377"/>
      <c r="G45" s="377"/>
      <c r="H45" s="377"/>
      <c r="I45" s="377"/>
      <c r="J45" s="377"/>
      <c r="K45" s="377"/>
      <c r="L45" s="379"/>
    </row>
    <row r="46" spans="1:12" hidden="1" outlineLevel="1" collapsed="1">
      <c r="A46" s="384"/>
      <c r="B46" s="284" t="s">
        <v>429</v>
      </c>
      <c r="C46" s="284"/>
      <c r="D46" s="284"/>
      <c r="E46" s="284"/>
      <c r="F46" s="284"/>
      <c r="G46" s="284"/>
      <c r="H46" s="284"/>
      <c r="I46" s="284"/>
      <c r="J46" s="284"/>
      <c r="K46" s="284"/>
      <c r="L46" s="108">
        <f>SUM(K41:K44)</f>
        <v>0</v>
      </c>
    </row>
    <row r="47" spans="1:12" hidden="1" outlineLevel="1">
      <c r="A47" s="198"/>
      <c r="B47" s="284" t="s">
        <v>430</v>
      </c>
      <c r="C47" s="284"/>
      <c r="D47" s="284"/>
      <c r="E47" s="284"/>
      <c r="F47" s="284"/>
      <c r="G47" s="284"/>
      <c r="H47" s="284"/>
      <c r="I47" s="284"/>
      <c r="J47" s="284"/>
      <c r="K47" s="284"/>
      <c r="L47" s="108">
        <f>L39+L46</f>
        <v>0</v>
      </c>
    </row>
    <row r="48" spans="1:12" hidden="1" outlineLevel="1" collapsed="1">
      <c r="A48" s="295" t="s">
        <v>134</v>
      </c>
      <c r="B48" s="295"/>
      <c r="C48" s="295"/>
      <c r="D48" s="295"/>
      <c r="E48" s="295"/>
      <c r="F48" s="295"/>
      <c r="G48" s="295"/>
      <c r="H48" s="295"/>
      <c r="I48" s="295"/>
      <c r="J48" s="295"/>
      <c r="K48" s="295"/>
      <c r="L48" s="295"/>
    </row>
    <row r="49" spans="1:12" hidden="1" outlineLevel="2">
      <c r="A49" s="367" t="s">
        <v>135</v>
      </c>
      <c r="B49" s="284" t="s">
        <v>431</v>
      </c>
      <c r="C49" s="284"/>
      <c r="D49" s="284"/>
      <c r="E49" s="284"/>
      <c r="F49" s="284"/>
      <c r="G49" s="284"/>
      <c r="H49" s="284"/>
      <c r="I49" s="284"/>
      <c r="J49" s="284"/>
      <c r="K49" s="284"/>
      <c r="L49" s="108">
        <f>'CO2'!L57</f>
        <v>0</v>
      </c>
    </row>
    <row r="50" spans="1:12" ht="38.25" hidden="1" customHeight="1" outlineLevel="2">
      <c r="A50" s="369"/>
      <c r="B50" s="296" t="s">
        <v>470</v>
      </c>
      <c r="C50" s="296"/>
      <c r="D50" s="296"/>
      <c r="E50" s="296" t="s">
        <v>412</v>
      </c>
      <c r="F50" s="296"/>
      <c r="G50" s="191" t="s">
        <v>424</v>
      </c>
      <c r="H50" s="296" t="s">
        <v>414</v>
      </c>
      <c r="I50" s="296"/>
      <c r="J50" s="296"/>
      <c r="K50" s="191" t="s">
        <v>415</v>
      </c>
      <c r="L50" s="84" t="s">
        <v>109</v>
      </c>
    </row>
    <row r="51" spans="1:12" hidden="1" outlineLevel="2">
      <c r="A51" s="369"/>
      <c r="B51" s="297"/>
      <c r="C51" s="297"/>
      <c r="D51" s="297"/>
      <c r="E51" s="297"/>
      <c r="F51" s="297"/>
      <c r="G51" s="112"/>
      <c r="H51" s="387"/>
      <c r="I51" s="387"/>
      <c r="J51" s="387"/>
      <c r="K51" s="107">
        <f>E51-B51</f>
        <v>0</v>
      </c>
      <c r="L51" s="388"/>
    </row>
    <row r="52" spans="1:12" hidden="1" outlineLevel="2">
      <c r="A52" s="369"/>
      <c r="B52" s="297"/>
      <c r="C52" s="297"/>
      <c r="D52" s="297"/>
      <c r="E52" s="297"/>
      <c r="F52" s="297"/>
      <c r="G52" s="112"/>
      <c r="H52" s="389"/>
      <c r="I52" s="389"/>
      <c r="J52" s="389"/>
      <c r="K52" s="107">
        <f>E52-B52</f>
        <v>0</v>
      </c>
      <c r="L52" s="388"/>
    </row>
    <row r="53" spans="1:12" hidden="1" outlineLevel="2">
      <c r="A53" s="369"/>
      <c r="B53" s="297"/>
      <c r="C53" s="297"/>
      <c r="D53" s="297"/>
      <c r="E53" s="297"/>
      <c r="F53" s="297"/>
      <c r="G53" s="33"/>
      <c r="H53" s="387"/>
      <c r="I53" s="387"/>
      <c r="J53" s="387"/>
      <c r="K53" s="107">
        <f>E53-B53</f>
        <v>0</v>
      </c>
      <c r="L53" s="388"/>
    </row>
    <row r="54" spans="1:12" hidden="1" outlineLevel="2">
      <c r="A54" s="369"/>
      <c r="B54" s="297"/>
      <c r="C54" s="297"/>
      <c r="D54" s="297"/>
      <c r="E54" s="297"/>
      <c r="F54" s="297"/>
      <c r="G54" s="33"/>
      <c r="H54" s="390"/>
      <c r="I54" s="390"/>
      <c r="J54" s="390"/>
      <c r="K54" s="107">
        <f>E54-B54</f>
        <v>0</v>
      </c>
      <c r="L54" s="388"/>
    </row>
    <row r="55" spans="1:12" hidden="1" outlineLevel="2">
      <c r="A55" s="369"/>
      <c r="B55" s="376" t="s">
        <v>425</v>
      </c>
      <c r="C55" s="376"/>
      <c r="D55" s="376"/>
      <c r="E55" s="377"/>
      <c r="F55" s="377"/>
      <c r="G55" s="377"/>
      <c r="H55" s="377"/>
      <c r="I55" s="377"/>
      <c r="J55" s="377"/>
      <c r="K55" s="377"/>
      <c r="L55" s="388"/>
    </row>
    <row r="56" spans="1:12" hidden="1" outlineLevel="1" collapsed="1">
      <c r="A56" s="371"/>
      <c r="B56" s="284" t="s">
        <v>432</v>
      </c>
      <c r="C56" s="284"/>
      <c r="D56" s="284"/>
      <c r="E56" s="284"/>
      <c r="F56" s="284"/>
      <c r="G56" s="284"/>
      <c r="H56" s="284"/>
      <c r="I56" s="284"/>
      <c r="J56" s="284"/>
      <c r="K56" s="284"/>
      <c r="L56" s="108">
        <f>SUM(K51:K54)</f>
        <v>0</v>
      </c>
    </row>
    <row r="57" spans="1:12" hidden="1" outlineLevel="1">
      <c r="A57" s="195"/>
      <c r="B57" s="284" t="s">
        <v>433</v>
      </c>
      <c r="C57" s="284"/>
      <c r="D57" s="284"/>
      <c r="E57" s="284"/>
      <c r="F57" s="284"/>
      <c r="G57" s="284"/>
      <c r="H57" s="284"/>
      <c r="I57" s="284"/>
      <c r="J57" s="284"/>
      <c r="K57" s="284"/>
      <c r="L57" s="108">
        <f>L49+L56</f>
        <v>0</v>
      </c>
    </row>
    <row r="58" spans="1:12" hidden="1" outlineLevel="1" collapsed="1">
      <c r="A58" s="295" t="s">
        <v>139</v>
      </c>
      <c r="B58" s="295"/>
      <c r="C58" s="295"/>
      <c r="D58" s="295"/>
      <c r="E58" s="295"/>
      <c r="F58" s="295"/>
      <c r="G58" s="295"/>
      <c r="H58" s="295"/>
      <c r="I58" s="295"/>
      <c r="J58" s="295"/>
      <c r="K58" s="295"/>
      <c r="L58" s="295"/>
    </row>
    <row r="59" spans="1:12" hidden="1" outlineLevel="2">
      <c r="A59" s="285" t="s">
        <v>103</v>
      </c>
      <c r="B59" s="284" t="s">
        <v>434</v>
      </c>
      <c r="C59" s="284"/>
      <c r="D59" s="284"/>
      <c r="E59" s="284"/>
      <c r="F59" s="284"/>
      <c r="G59" s="284"/>
      <c r="H59" s="284"/>
      <c r="I59" s="284"/>
      <c r="J59" s="284"/>
      <c r="K59" s="284"/>
      <c r="L59" s="108">
        <f>'CO2'!L68</f>
        <v>0</v>
      </c>
    </row>
    <row r="60" spans="1:12" ht="38.25" hidden="1" customHeight="1" outlineLevel="2">
      <c r="A60" s="287"/>
      <c r="B60" s="296" t="s">
        <v>470</v>
      </c>
      <c r="C60" s="296"/>
      <c r="D60" s="296"/>
      <c r="E60" s="296" t="s">
        <v>412</v>
      </c>
      <c r="F60" s="296"/>
      <c r="G60" s="191" t="s">
        <v>424</v>
      </c>
      <c r="H60" s="296" t="s">
        <v>414</v>
      </c>
      <c r="I60" s="296"/>
      <c r="J60" s="296"/>
      <c r="K60" s="191" t="s">
        <v>415</v>
      </c>
      <c r="L60" s="84" t="s">
        <v>109</v>
      </c>
    </row>
    <row r="61" spans="1:12" hidden="1" outlineLevel="2">
      <c r="A61" s="287"/>
      <c r="B61" s="297"/>
      <c r="C61" s="297"/>
      <c r="D61" s="297"/>
      <c r="E61" s="297"/>
      <c r="F61" s="297"/>
      <c r="G61" s="189"/>
      <c r="H61" s="294"/>
      <c r="I61" s="294"/>
      <c r="J61" s="294"/>
      <c r="K61" s="107">
        <f>E61-B61</f>
        <v>0</v>
      </c>
      <c r="L61" s="392"/>
    </row>
    <row r="62" spans="1:12" hidden="1" outlineLevel="2">
      <c r="A62" s="287"/>
      <c r="B62" s="297"/>
      <c r="C62" s="297"/>
      <c r="D62" s="297"/>
      <c r="E62" s="297"/>
      <c r="F62" s="297"/>
      <c r="G62" s="189"/>
      <c r="H62" s="391"/>
      <c r="I62" s="391"/>
      <c r="J62" s="391"/>
      <c r="K62" s="107">
        <f>E62-B62</f>
        <v>0</v>
      </c>
      <c r="L62" s="392"/>
    </row>
    <row r="63" spans="1:12" hidden="1" outlineLevel="2">
      <c r="A63" s="287"/>
      <c r="B63" s="297"/>
      <c r="C63" s="297"/>
      <c r="D63" s="297"/>
      <c r="E63" s="297"/>
      <c r="F63" s="297"/>
      <c r="G63" s="189"/>
      <c r="H63" s="391"/>
      <c r="I63" s="391"/>
      <c r="J63" s="391"/>
      <c r="K63" s="107">
        <f>E63-B63</f>
        <v>0</v>
      </c>
      <c r="L63" s="392"/>
    </row>
    <row r="64" spans="1:12" hidden="1" outlineLevel="2">
      <c r="A64" s="287"/>
      <c r="B64" s="297"/>
      <c r="C64" s="297"/>
      <c r="D64" s="297"/>
      <c r="E64" s="297"/>
      <c r="F64" s="297"/>
      <c r="G64" s="189"/>
      <c r="H64" s="391"/>
      <c r="I64" s="391"/>
      <c r="J64" s="391"/>
      <c r="K64" s="107">
        <f>E64-B64</f>
        <v>0</v>
      </c>
      <c r="L64" s="392"/>
    </row>
    <row r="65" spans="1:12" hidden="1" outlineLevel="2">
      <c r="A65" s="287"/>
      <c r="B65" s="297"/>
      <c r="C65" s="297"/>
      <c r="D65" s="297"/>
      <c r="E65" s="297"/>
      <c r="F65" s="297"/>
      <c r="G65" s="189"/>
      <c r="H65" s="294"/>
      <c r="I65" s="294"/>
      <c r="J65" s="294"/>
      <c r="K65" s="107">
        <f>E65-B65</f>
        <v>0</v>
      </c>
      <c r="L65" s="392"/>
    </row>
    <row r="66" spans="1:12" hidden="1" outlineLevel="2">
      <c r="A66" s="287"/>
      <c r="B66" s="376" t="s">
        <v>425</v>
      </c>
      <c r="C66" s="376"/>
      <c r="D66" s="376"/>
      <c r="E66" s="377"/>
      <c r="F66" s="377"/>
      <c r="G66" s="377"/>
      <c r="H66" s="377"/>
      <c r="I66" s="377"/>
      <c r="J66" s="377"/>
      <c r="K66" s="377"/>
      <c r="L66" s="392"/>
    </row>
    <row r="67" spans="1:12" hidden="1" outlineLevel="1" collapsed="1">
      <c r="A67" s="289"/>
      <c r="B67" s="284" t="s">
        <v>435</v>
      </c>
      <c r="C67" s="284"/>
      <c r="D67" s="284"/>
      <c r="E67" s="284"/>
      <c r="F67" s="284"/>
      <c r="G67" s="284"/>
      <c r="H67" s="284"/>
      <c r="I67" s="284"/>
      <c r="J67" s="284"/>
      <c r="K67" s="284"/>
      <c r="L67" s="108">
        <f>SUM(K61:K65)</f>
        <v>0</v>
      </c>
    </row>
    <row r="68" spans="1:12" hidden="1" outlineLevel="1">
      <c r="A68" s="196"/>
      <c r="B68" s="284" t="s">
        <v>436</v>
      </c>
      <c r="C68" s="284"/>
      <c r="D68" s="284"/>
      <c r="E68" s="284"/>
      <c r="F68" s="284"/>
      <c r="G68" s="284"/>
      <c r="H68" s="284"/>
      <c r="I68" s="284"/>
      <c r="J68" s="284"/>
      <c r="K68" s="284"/>
      <c r="L68" s="108">
        <f>L59+L67</f>
        <v>0</v>
      </c>
    </row>
    <row r="69" spans="1:12" hidden="1" outlineLevel="1" collapsed="1">
      <c r="A69" s="295" t="s">
        <v>152</v>
      </c>
      <c r="B69" s="295"/>
      <c r="C69" s="295"/>
      <c r="D69" s="295"/>
      <c r="E69" s="295"/>
      <c r="F69" s="295"/>
      <c r="G69" s="295"/>
      <c r="H69" s="295"/>
      <c r="I69" s="295"/>
      <c r="J69" s="295"/>
      <c r="K69" s="295"/>
      <c r="L69" s="295"/>
    </row>
    <row r="70" spans="1:12" hidden="1" outlineLevel="2">
      <c r="A70" s="285" t="s">
        <v>103</v>
      </c>
      <c r="B70" s="284" t="s">
        <v>437</v>
      </c>
      <c r="C70" s="284"/>
      <c r="D70" s="284"/>
      <c r="E70" s="284"/>
      <c r="F70" s="284"/>
      <c r="G70" s="284"/>
      <c r="H70" s="284"/>
      <c r="I70" s="284"/>
      <c r="J70" s="284"/>
      <c r="K70" s="284"/>
      <c r="L70" s="108">
        <f>'CO2'!L76</f>
        <v>0</v>
      </c>
    </row>
    <row r="71" spans="1:12" ht="38.25" hidden="1" customHeight="1" outlineLevel="2">
      <c r="A71" s="287"/>
      <c r="B71" s="296" t="s">
        <v>470</v>
      </c>
      <c r="C71" s="296"/>
      <c r="D71" s="296"/>
      <c r="E71" s="296" t="s">
        <v>412</v>
      </c>
      <c r="F71" s="296"/>
      <c r="G71" s="191" t="s">
        <v>424</v>
      </c>
      <c r="H71" s="296" t="s">
        <v>414</v>
      </c>
      <c r="I71" s="296"/>
      <c r="J71" s="296"/>
      <c r="K71" s="191" t="s">
        <v>415</v>
      </c>
      <c r="L71" s="191" t="s">
        <v>109</v>
      </c>
    </row>
    <row r="72" spans="1:12" hidden="1" outlineLevel="2">
      <c r="A72" s="287"/>
      <c r="B72" s="297"/>
      <c r="C72" s="297"/>
      <c r="D72" s="297"/>
      <c r="E72" s="297"/>
      <c r="F72" s="297"/>
      <c r="G72" s="189"/>
      <c r="H72" s="294"/>
      <c r="I72" s="294"/>
      <c r="J72" s="294"/>
      <c r="K72" s="107">
        <f>E72-B72</f>
        <v>0</v>
      </c>
      <c r="L72" s="298"/>
    </row>
    <row r="73" spans="1:12" hidden="1" outlineLevel="2">
      <c r="A73" s="287"/>
      <c r="B73" s="297"/>
      <c r="C73" s="297"/>
      <c r="D73" s="297"/>
      <c r="E73" s="297"/>
      <c r="F73" s="297"/>
      <c r="G73" s="189"/>
      <c r="H73" s="294"/>
      <c r="I73" s="294"/>
      <c r="J73" s="294"/>
      <c r="K73" s="107">
        <f>E73-B73</f>
        <v>0</v>
      </c>
      <c r="L73" s="298"/>
    </row>
    <row r="74" spans="1:12" hidden="1" outlineLevel="2">
      <c r="A74" s="287"/>
      <c r="B74" s="297"/>
      <c r="C74" s="297"/>
      <c r="D74" s="297"/>
      <c r="E74" s="297"/>
      <c r="F74" s="297"/>
      <c r="G74" s="189"/>
      <c r="H74" s="294"/>
      <c r="I74" s="294"/>
      <c r="J74" s="294"/>
      <c r="K74" s="107">
        <f>E74-B74</f>
        <v>0</v>
      </c>
      <c r="L74" s="298"/>
    </row>
    <row r="75" spans="1:12" hidden="1" outlineLevel="1" collapsed="1">
      <c r="A75" s="289"/>
      <c r="B75" s="284" t="s">
        <v>438</v>
      </c>
      <c r="C75" s="284"/>
      <c r="D75" s="284"/>
      <c r="E75" s="284"/>
      <c r="F75" s="284"/>
      <c r="G75" s="284"/>
      <c r="H75" s="284"/>
      <c r="I75" s="284"/>
      <c r="J75" s="284"/>
      <c r="K75" s="284"/>
      <c r="L75" s="108">
        <f>SUM(K72:K74)</f>
        <v>0</v>
      </c>
    </row>
    <row r="76" spans="1:12" hidden="1" outlineLevel="1">
      <c r="A76" s="196"/>
      <c r="B76" s="284" t="s">
        <v>439</v>
      </c>
      <c r="C76" s="284"/>
      <c r="D76" s="284"/>
      <c r="E76" s="284"/>
      <c r="F76" s="284"/>
      <c r="G76" s="284"/>
      <c r="H76" s="284"/>
      <c r="I76" s="284"/>
      <c r="J76" s="284"/>
      <c r="K76" s="284"/>
      <c r="L76" s="108">
        <f>L70+L75</f>
        <v>0</v>
      </c>
    </row>
    <row r="77" spans="1:12" hidden="1" outlineLevel="1" collapsed="1">
      <c r="A77" s="295" t="s">
        <v>440</v>
      </c>
      <c r="B77" s="295"/>
      <c r="C77" s="295"/>
      <c r="D77" s="295"/>
      <c r="E77" s="295"/>
      <c r="F77" s="295"/>
      <c r="G77" s="295"/>
      <c r="H77" s="295"/>
      <c r="I77" s="295"/>
      <c r="J77" s="295"/>
      <c r="K77" s="295"/>
      <c r="L77" s="295"/>
    </row>
    <row r="78" spans="1:12" hidden="1" outlineLevel="2">
      <c r="A78" s="285" t="s">
        <v>103</v>
      </c>
      <c r="B78" s="284" t="s">
        <v>441</v>
      </c>
      <c r="C78" s="284"/>
      <c r="D78" s="284"/>
      <c r="E78" s="284"/>
      <c r="F78" s="284"/>
      <c r="G78" s="284"/>
      <c r="H78" s="284"/>
      <c r="I78" s="284"/>
      <c r="J78" s="284"/>
      <c r="K78" s="284"/>
      <c r="L78" s="108">
        <f>'CO2'!L84</f>
        <v>0</v>
      </c>
    </row>
    <row r="79" spans="1:12" ht="38.25" hidden="1" customHeight="1" outlineLevel="2">
      <c r="A79" s="287"/>
      <c r="B79" s="296" t="s">
        <v>470</v>
      </c>
      <c r="C79" s="296"/>
      <c r="D79" s="296"/>
      <c r="E79" s="296" t="s">
        <v>412</v>
      </c>
      <c r="F79" s="296"/>
      <c r="G79" s="191" t="s">
        <v>424</v>
      </c>
      <c r="H79" s="296" t="s">
        <v>414</v>
      </c>
      <c r="I79" s="296"/>
      <c r="J79" s="296"/>
      <c r="K79" s="191" t="s">
        <v>415</v>
      </c>
      <c r="L79" s="191" t="s">
        <v>109</v>
      </c>
    </row>
    <row r="80" spans="1:12" hidden="1" outlineLevel="2">
      <c r="A80" s="287"/>
      <c r="B80" s="356"/>
      <c r="C80" s="356"/>
      <c r="D80" s="356"/>
      <c r="E80" s="356"/>
      <c r="F80" s="356"/>
      <c r="G80" s="189"/>
      <c r="H80" s="391"/>
      <c r="I80" s="391"/>
      <c r="J80" s="391"/>
      <c r="K80" s="107">
        <f>E80-B80</f>
        <v>0</v>
      </c>
      <c r="L80" s="298"/>
    </row>
    <row r="81" spans="1:12" hidden="1" outlineLevel="2">
      <c r="A81" s="287"/>
      <c r="B81" s="356"/>
      <c r="C81" s="356"/>
      <c r="D81" s="356"/>
      <c r="E81" s="356"/>
      <c r="F81" s="356"/>
      <c r="G81" s="189"/>
      <c r="H81" s="391"/>
      <c r="I81" s="391"/>
      <c r="J81" s="391"/>
      <c r="K81" s="107">
        <f>E81-B81</f>
        <v>0</v>
      </c>
      <c r="L81" s="298"/>
    </row>
    <row r="82" spans="1:12" hidden="1" outlineLevel="2">
      <c r="A82" s="287"/>
      <c r="B82" s="356"/>
      <c r="C82" s="356"/>
      <c r="D82" s="356"/>
      <c r="E82" s="356"/>
      <c r="F82" s="356"/>
      <c r="G82" s="189"/>
      <c r="H82" s="294"/>
      <c r="I82" s="294"/>
      <c r="J82" s="294"/>
      <c r="K82" s="107">
        <f>E82-B82</f>
        <v>0</v>
      </c>
      <c r="L82" s="298"/>
    </row>
    <row r="83" spans="1:12" hidden="1" outlineLevel="1" collapsed="1">
      <c r="A83" s="289"/>
      <c r="B83" s="284" t="s">
        <v>442</v>
      </c>
      <c r="C83" s="284"/>
      <c r="D83" s="284"/>
      <c r="E83" s="284"/>
      <c r="F83" s="284"/>
      <c r="G83" s="284"/>
      <c r="H83" s="284"/>
      <c r="I83" s="284"/>
      <c r="J83" s="284"/>
      <c r="K83" s="284"/>
      <c r="L83" s="108">
        <f>SUM(K80:K82)</f>
        <v>0</v>
      </c>
    </row>
    <row r="84" spans="1:12" hidden="1" outlineLevel="1">
      <c r="A84" s="194"/>
      <c r="B84" s="284" t="s">
        <v>443</v>
      </c>
      <c r="C84" s="284"/>
      <c r="D84" s="284"/>
      <c r="E84" s="284"/>
      <c r="F84" s="284"/>
      <c r="G84" s="284"/>
      <c r="H84" s="284"/>
      <c r="I84" s="284"/>
      <c r="J84" s="284"/>
      <c r="K84" s="284"/>
      <c r="L84" s="108">
        <f>L78+L83</f>
        <v>0</v>
      </c>
    </row>
    <row r="85" spans="1:12" hidden="1" outlineLevel="1" collapsed="1">
      <c r="A85" s="295" t="s">
        <v>444</v>
      </c>
      <c r="B85" s="295"/>
      <c r="C85" s="295"/>
      <c r="D85" s="295"/>
      <c r="E85" s="295"/>
      <c r="F85" s="295"/>
      <c r="G85" s="295"/>
      <c r="H85" s="295"/>
      <c r="I85" s="295"/>
      <c r="J85" s="295"/>
      <c r="K85" s="295"/>
      <c r="L85" s="295"/>
    </row>
    <row r="86" spans="1:12" hidden="1" outlineLevel="2">
      <c r="A86" s="285" t="s">
        <v>103</v>
      </c>
      <c r="B86" s="284" t="s">
        <v>445</v>
      </c>
      <c r="C86" s="284"/>
      <c r="D86" s="284"/>
      <c r="E86" s="284"/>
      <c r="F86" s="284"/>
      <c r="G86" s="284"/>
      <c r="H86" s="284"/>
      <c r="I86" s="284"/>
      <c r="J86" s="284"/>
      <c r="K86" s="284"/>
      <c r="L86" s="108">
        <f>'CO2'!L92</f>
        <v>0</v>
      </c>
    </row>
    <row r="87" spans="1:12" ht="38.25" hidden="1" customHeight="1" outlineLevel="2">
      <c r="A87" s="287"/>
      <c r="B87" s="296" t="s">
        <v>470</v>
      </c>
      <c r="C87" s="296"/>
      <c r="D87" s="296"/>
      <c r="E87" s="296" t="s">
        <v>412</v>
      </c>
      <c r="F87" s="296"/>
      <c r="G87" s="191" t="s">
        <v>413</v>
      </c>
      <c r="H87" s="296" t="s">
        <v>414</v>
      </c>
      <c r="I87" s="296"/>
      <c r="J87" s="296"/>
      <c r="K87" s="191" t="s">
        <v>415</v>
      </c>
      <c r="L87" s="191" t="s">
        <v>109</v>
      </c>
    </row>
    <row r="88" spans="1:12" hidden="1" outlineLevel="2">
      <c r="A88" s="287"/>
      <c r="B88" s="297"/>
      <c r="C88" s="297"/>
      <c r="D88" s="297"/>
      <c r="E88" s="297"/>
      <c r="F88" s="297"/>
      <c r="G88" s="189"/>
      <c r="H88" s="294"/>
      <c r="I88" s="294"/>
      <c r="J88" s="294"/>
      <c r="K88" s="107">
        <f>E88-B88</f>
        <v>0</v>
      </c>
      <c r="L88" s="298"/>
    </row>
    <row r="89" spans="1:12" hidden="1" outlineLevel="2">
      <c r="A89" s="287"/>
      <c r="B89" s="297"/>
      <c r="C89" s="297"/>
      <c r="D89" s="297"/>
      <c r="E89" s="297"/>
      <c r="F89" s="297"/>
      <c r="G89" s="189"/>
      <c r="H89" s="391"/>
      <c r="I89" s="391"/>
      <c r="J89" s="391"/>
      <c r="K89" s="107">
        <f>E89-B89</f>
        <v>0</v>
      </c>
      <c r="L89" s="298"/>
    </row>
    <row r="90" spans="1:12" hidden="1" outlineLevel="2">
      <c r="A90" s="287"/>
      <c r="B90" s="393"/>
      <c r="C90" s="393"/>
      <c r="D90" s="393"/>
      <c r="E90" s="393"/>
      <c r="F90" s="393"/>
      <c r="G90" s="189"/>
      <c r="H90" s="294"/>
      <c r="I90" s="294"/>
      <c r="J90" s="294"/>
      <c r="K90" s="107">
        <f>E90-B90</f>
        <v>0</v>
      </c>
      <c r="L90" s="298"/>
    </row>
    <row r="91" spans="1:12" hidden="1" outlineLevel="1" collapsed="1">
      <c r="A91" s="289"/>
      <c r="B91" s="284" t="s">
        <v>446</v>
      </c>
      <c r="C91" s="284"/>
      <c r="D91" s="284"/>
      <c r="E91" s="284"/>
      <c r="F91" s="284"/>
      <c r="G91" s="284"/>
      <c r="H91" s="284"/>
      <c r="I91" s="284"/>
      <c r="J91" s="284"/>
      <c r="K91" s="284"/>
      <c r="L91" s="108">
        <f>SUM(K88:K90)</f>
        <v>0</v>
      </c>
    </row>
    <row r="92" spans="1:12" hidden="1" outlineLevel="1">
      <c r="A92" s="193"/>
      <c r="B92" s="284" t="s">
        <v>447</v>
      </c>
      <c r="C92" s="284"/>
      <c r="D92" s="284"/>
      <c r="E92" s="284"/>
      <c r="F92" s="284"/>
      <c r="G92" s="284"/>
      <c r="H92" s="284"/>
      <c r="I92" s="284"/>
      <c r="J92" s="284"/>
      <c r="K92" s="284"/>
      <c r="L92" s="108">
        <f>L86+L91</f>
        <v>0</v>
      </c>
    </row>
    <row r="93" spans="1:12" hidden="1" outlineLevel="1" collapsed="1">
      <c r="A93" s="295" t="s">
        <v>167</v>
      </c>
      <c r="B93" s="295"/>
      <c r="C93" s="295"/>
      <c r="D93" s="295"/>
      <c r="E93" s="295"/>
      <c r="F93" s="295"/>
      <c r="G93" s="295"/>
      <c r="H93" s="295"/>
      <c r="I93" s="295"/>
      <c r="J93" s="295"/>
      <c r="K93" s="295"/>
      <c r="L93" s="295"/>
    </row>
    <row r="94" spans="1:12" hidden="1" outlineLevel="2">
      <c r="A94" s="285" t="s">
        <v>103</v>
      </c>
      <c r="B94" s="284" t="s">
        <v>448</v>
      </c>
      <c r="C94" s="284"/>
      <c r="D94" s="284"/>
      <c r="E94" s="284"/>
      <c r="F94" s="284"/>
      <c r="G94" s="284"/>
      <c r="H94" s="284"/>
      <c r="I94" s="284"/>
      <c r="J94" s="284"/>
      <c r="K94" s="284"/>
      <c r="L94" s="110">
        <f>'CO2'!L101</f>
        <v>0</v>
      </c>
    </row>
    <row r="95" spans="1:12" ht="38.25" hidden="1" customHeight="1" outlineLevel="2">
      <c r="A95" s="287"/>
      <c r="B95" s="296" t="s">
        <v>470</v>
      </c>
      <c r="C95" s="296"/>
      <c r="D95" s="296"/>
      <c r="E95" s="296" t="s">
        <v>412</v>
      </c>
      <c r="F95" s="296"/>
      <c r="G95" s="191" t="s">
        <v>424</v>
      </c>
      <c r="H95" s="296" t="s">
        <v>414</v>
      </c>
      <c r="I95" s="296"/>
      <c r="J95" s="296"/>
      <c r="K95" s="191" t="s">
        <v>415</v>
      </c>
      <c r="L95" s="191" t="s">
        <v>109</v>
      </c>
    </row>
    <row r="96" spans="1:12" hidden="1" outlineLevel="2">
      <c r="A96" s="287"/>
      <c r="B96" s="297"/>
      <c r="C96" s="297"/>
      <c r="D96" s="297"/>
      <c r="E96" s="297"/>
      <c r="F96" s="297"/>
      <c r="G96" s="189"/>
      <c r="H96" s="294"/>
      <c r="I96" s="294"/>
      <c r="J96" s="294"/>
      <c r="K96" s="107">
        <f>E96-B96</f>
        <v>0</v>
      </c>
      <c r="L96" s="394"/>
    </row>
    <row r="97" spans="1:12" hidden="1" outlineLevel="2">
      <c r="A97" s="287"/>
      <c r="B97" s="297"/>
      <c r="C97" s="297"/>
      <c r="D97" s="297"/>
      <c r="E97" s="297"/>
      <c r="F97" s="297"/>
      <c r="G97" s="189"/>
      <c r="H97" s="391"/>
      <c r="I97" s="391"/>
      <c r="J97" s="391"/>
      <c r="K97" s="107">
        <f>E97-B97</f>
        <v>0</v>
      </c>
      <c r="L97" s="394"/>
    </row>
    <row r="98" spans="1:12" hidden="1" outlineLevel="2">
      <c r="A98" s="287"/>
      <c r="B98" s="297"/>
      <c r="C98" s="297"/>
      <c r="D98" s="297"/>
      <c r="E98" s="297"/>
      <c r="F98" s="297"/>
      <c r="G98" s="189"/>
      <c r="H98" s="294"/>
      <c r="I98" s="294"/>
      <c r="J98" s="294"/>
      <c r="K98" s="107">
        <f>E98-B98</f>
        <v>0</v>
      </c>
      <c r="L98" s="394"/>
    </row>
    <row r="99" spans="1:12" hidden="1" outlineLevel="2">
      <c r="A99" s="287"/>
      <c r="B99" s="376" t="s">
        <v>425</v>
      </c>
      <c r="C99" s="376"/>
      <c r="D99" s="376"/>
      <c r="E99" s="428"/>
      <c r="F99" s="428"/>
      <c r="G99" s="428"/>
      <c r="H99" s="428"/>
      <c r="I99" s="428"/>
      <c r="J99" s="428"/>
      <c r="K99" s="428"/>
      <c r="L99" s="394"/>
    </row>
    <row r="100" spans="1:12" hidden="1" outlineLevel="1" collapsed="1">
      <c r="A100" s="289"/>
      <c r="B100" s="284" t="s">
        <v>449</v>
      </c>
      <c r="C100" s="284"/>
      <c r="D100" s="284"/>
      <c r="E100" s="284"/>
      <c r="F100" s="284"/>
      <c r="G100" s="284"/>
      <c r="H100" s="284"/>
      <c r="I100" s="284"/>
      <c r="J100" s="284"/>
      <c r="K100" s="284"/>
      <c r="L100" s="110">
        <f>SUM(K96:K98)</f>
        <v>0</v>
      </c>
    </row>
    <row r="101" spans="1:12" hidden="1" outlineLevel="1">
      <c r="A101" s="194"/>
      <c r="B101" s="284" t="s">
        <v>450</v>
      </c>
      <c r="C101" s="284"/>
      <c r="D101" s="284"/>
      <c r="E101" s="284"/>
      <c r="F101" s="284"/>
      <c r="G101" s="284"/>
      <c r="H101" s="284"/>
      <c r="I101" s="284"/>
      <c r="J101" s="284"/>
      <c r="K101" s="284"/>
      <c r="L101" s="110">
        <f>L94+L100</f>
        <v>0</v>
      </c>
    </row>
    <row r="102" spans="1:12" hidden="1" outlineLevel="1" collapsed="1">
      <c r="A102" s="295" t="s">
        <v>451</v>
      </c>
      <c r="B102" s="295"/>
      <c r="C102" s="295"/>
      <c r="D102" s="295"/>
      <c r="E102" s="295"/>
      <c r="F102" s="295"/>
      <c r="G102" s="295"/>
      <c r="H102" s="295"/>
      <c r="I102" s="295"/>
      <c r="J102" s="295"/>
      <c r="K102" s="295"/>
      <c r="L102" s="295"/>
    </row>
    <row r="103" spans="1:12" hidden="1" outlineLevel="2">
      <c r="A103" s="285" t="s">
        <v>103</v>
      </c>
      <c r="B103" s="284" t="s">
        <v>452</v>
      </c>
      <c r="C103" s="284"/>
      <c r="D103" s="284"/>
      <c r="E103" s="284"/>
      <c r="F103" s="284"/>
      <c r="G103" s="284"/>
      <c r="H103" s="284"/>
      <c r="I103" s="284"/>
      <c r="J103" s="284"/>
      <c r="K103" s="284"/>
      <c r="L103" s="110">
        <f>'CO2'!L110</f>
        <v>0</v>
      </c>
    </row>
    <row r="104" spans="1:12" ht="38.25" hidden="1" customHeight="1" outlineLevel="2">
      <c r="A104" s="287"/>
      <c r="B104" s="296" t="s">
        <v>470</v>
      </c>
      <c r="C104" s="296"/>
      <c r="D104" s="296"/>
      <c r="E104" s="296" t="s">
        <v>412</v>
      </c>
      <c r="F104" s="296"/>
      <c r="G104" s="191" t="s">
        <v>413</v>
      </c>
      <c r="H104" s="296" t="s">
        <v>414</v>
      </c>
      <c r="I104" s="296"/>
      <c r="J104" s="296"/>
      <c r="K104" s="191" t="s">
        <v>415</v>
      </c>
      <c r="L104" s="191" t="s">
        <v>109</v>
      </c>
    </row>
    <row r="105" spans="1:12" ht="12.75" hidden="1" customHeight="1" outlineLevel="2">
      <c r="A105" s="287"/>
      <c r="B105" s="425"/>
      <c r="C105" s="426"/>
      <c r="D105" s="427"/>
      <c r="E105" s="297"/>
      <c r="F105" s="297"/>
      <c r="G105" s="75"/>
      <c r="H105" s="395"/>
      <c r="I105" s="395"/>
      <c r="J105" s="395"/>
      <c r="K105" s="107">
        <f>E105-B105</f>
        <v>0</v>
      </c>
      <c r="L105" s="76"/>
    </row>
    <row r="106" spans="1:12" hidden="1" outlineLevel="2">
      <c r="A106" s="287"/>
      <c r="B106" s="297"/>
      <c r="C106" s="297"/>
      <c r="D106" s="297"/>
      <c r="E106" s="297"/>
      <c r="F106" s="297"/>
      <c r="G106" s="75"/>
      <c r="H106" s="395"/>
      <c r="I106" s="395"/>
      <c r="J106" s="395"/>
      <c r="K106" s="107">
        <f>E106-B106</f>
        <v>0</v>
      </c>
      <c r="L106" s="76"/>
    </row>
    <row r="107" spans="1:12" hidden="1" outlineLevel="2">
      <c r="A107" s="287"/>
      <c r="B107" s="297"/>
      <c r="C107" s="297"/>
      <c r="D107" s="297"/>
      <c r="E107" s="297"/>
      <c r="F107" s="297"/>
      <c r="G107" s="75"/>
      <c r="H107" s="395"/>
      <c r="I107" s="395"/>
      <c r="J107" s="395"/>
      <c r="K107" s="107">
        <f>E107-B107</f>
        <v>0</v>
      </c>
      <c r="L107" s="76"/>
    </row>
    <row r="108" spans="1:12" hidden="1" outlineLevel="2">
      <c r="A108" s="287"/>
      <c r="B108" s="297"/>
      <c r="C108" s="297"/>
      <c r="D108" s="297"/>
      <c r="E108" s="297"/>
      <c r="F108" s="297"/>
      <c r="G108" s="189"/>
      <c r="H108" s="294"/>
      <c r="I108" s="294"/>
      <c r="J108" s="294"/>
      <c r="K108" s="107">
        <f>E108-B108</f>
        <v>0</v>
      </c>
      <c r="L108" s="76"/>
    </row>
    <row r="109" spans="1:12" hidden="1" outlineLevel="1" collapsed="1">
      <c r="A109" s="289"/>
      <c r="B109" s="284" t="s">
        <v>453</v>
      </c>
      <c r="C109" s="284"/>
      <c r="D109" s="284"/>
      <c r="E109" s="284"/>
      <c r="F109" s="284"/>
      <c r="G109" s="284"/>
      <c r="H109" s="284"/>
      <c r="I109" s="284"/>
      <c r="J109" s="284"/>
      <c r="K109" s="284"/>
      <c r="L109" s="110">
        <f>SUM(K105:K108)</f>
        <v>0</v>
      </c>
    </row>
    <row r="110" spans="1:12" hidden="1" outlineLevel="1">
      <c r="A110" s="194"/>
      <c r="B110" s="284" t="s">
        <v>454</v>
      </c>
      <c r="C110" s="284"/>
      <c r="D110" s="284"/>
      <c r="E110" s="284"/>
      <c r="F110" s="284"/>
      <c r="G110" s="284"/>
      <c r="H110" s="284"/>
      <c r="I110" s="284"/>
      <c r="J110" s="284"/>
      <c r="K110" s="284"/>
      <c r="L110" s="110">
        <f>L103+L109</f>
        <v>0</v>
      </c>
    </row>
    <row r="111" spans="1:12" hidden="1" outlineLevel="1" collapsed="1">
      <c r="A111" s="361" t="s">
        <v>178</v>
      </c>
      <c r="B111" s="361"/>
      <c r="C111" s="361"/>
      <c r="D111" s="361"/>
      <c r="E111" s="361"/>
      <c r="F111" s="361"/>
      <c r="G111" s="361"/>
      <c r="H111" s="361"/>
      <c r="I111" s="361"/>
      <c r="J111" s="361"/>
      <c r="K111" s="361"/>
      <c r="L111" s="361"/>
    </row>
    <row r="112" spans="1:12" hidden="1" outlineLevel="2">
      <c r="A112" s="285" t="s">
        <v>103</v>
      </c>
      <c r="B112" s="284" t="s">
        <v>455</v>
      </c>
      <c r="C112" s="284"/>
      <c r="D112" s="284"/>
      <c r="E112" s="284"/>
      <c r="F112" s="284"/>
      <c r="G112" s="284"/>
      <c r="H112" s="284"/>
      <c r="I112" s="284"/>
      <c r="J112" s="284"/>
      <c r="K112" s="284"/>
      <c r="L112" s="108">
        <f>'CO2'!L119</f>
        <v>0</v>
      </c>
    </row>
    <row r="113" spans="1:12" ht="38.25" hidden="1" customHeight="1" outlineLevel="2">
      <c r="A113" s="287"/>
      <c r="B113" s="296" t="s">
        <v>470</v>
      </c>
      <c r="C113" s="296"/>
      <c r="D113" s="296"/>
      <c r="E113" s="296" t="s">
        <v>412</v>
      </c>
      <c r="F113" s="296"/>
      <c r="G113" s="191" t="s">
        <v>424</v>
      </c>
      <c r="H113" s="296" t="s">
        <v>414</v>
      </c>
      <c r="I113" s="296"/>
      <c r="J113" s="296"/>
      <c r="K113" s="191" t="s">
        <v>415</v>
      </c>
      <c r="L113" s="191" t="s">
        <v>109</v>
      </c>
    </row>
    <row r="114" spans="1:12" hidden="1" outlineLevel="2">
      <c r="A114" s="287"/>
      <c r="B114" s="356"/>
      <c r="C114" s="356"/>
      <c r="D114" s="356"/>
      <c r="E114" s="356"/>
      <c r="F114" s="356"/>
      <c r="G114" s="189"/>
      <c r="H114" s="378"/>
      <c r="I114" s="378"/>
      <c r="J114" s="378"/>
      <c r="K114" s="107">
        <f>E114-B114</f>
        <v>0</v>
      </c>
      <c r="L114" s="399"/>
    </row>
    <row r="115" spans="1:12" hidden="1" outlineLevel="2">
      <c r="A115" s="287"/>
      <c r="B115" s="356"/>
      <c r="C115" s="356"/>
      <c r="D115" s="356"/>
      <c r="E115" s="356"/>
      <c r="F115" s="356"/>
      <c r="G115" s="189"/>
      <c r="H115" s="283"/>
      <c r="I115" s="283"/>
      <c r="J115" s="283"/>
      <c r="K115" s="107">
        <f>E115-B115</f>
        <v>0</v>
      </c>
      <c r="L115" s="399"/>
    </row>
    <row r="116" spans="1:12" hidden="1" outlineLevel="2">
      <c r="A116" s="287"/>
      <c r="B116" s="356"/>
      <c r="C116" s="356"/>
      <c r="D116" s="356"/>
      <c r="E116" s="356"/>
      <c r="F116" s="356"/>
      <c r="G116" s="189"/>
      <c r="H116" s="401"/>
      <c r="I116" s="401"/>
      <c r="J116" s="401"/>
      <c r="K116" s="107">
        <f>E116-B116</f>
        <v>0</v>
      </c>
      <c r="L116" s="399"/>
    </row>
    <row r="117" spans="1:12" hidden="1" outlineLevel="2">
      <c r="A117" s="287"/>
      <c r="B117" s="356"/>
      <c r="C117" s="356"/>
      <c r="D117" s="356"/>
      <c r="E117" s="356"/>
      <c r="F117" s="356"/>
      <c r="G117" s="189"/>
      <c r="H117" s="400"/>
      <c r="I117" s="400"/>
      <c r="J117" s="400"/>
      <c r="K117" s="107">
        <f>E117-B117</f>
        <v>0</v>
      </c>
      <c r="L117" s="399"/>
    </row>
    <row r="118" spans="1:12" hidden="1" outlineLevel="1" collapsed="1">
      <c r="A118" s="289"/>
      <c r="B118" s="284" t="s">
        <v>456</v>
      </c>
      <c r="C118" s="284"/>
      <c r="D118" s="284"/>
      <c r="E118" s="284"/>
      <c r="F118" s="284"/>
      <c r="G118" s="284"/>
      <c r="H118" s="284"/>
      <c r="I118" s="284"/>
      <c r="J118" s="284"/>
      <c r="K118" s="284"/>
      <c r="L118" s="108">
        <f>SUM(K114:K117)</f>
        <v>0</v>
      </c>
    </row>
    <row r="119" spans="1:12" hidden="1" outlineLevel="1">
      <c r="A119" s="194"/>
      <c r="B119" s="284" t="s">
        <v>457</v>
      </c>
      <c r="C119" s="284"/>
      <c r="D119" s="284"/>
      <c r="E119" s="284"/>
      <c r="F119" s="284"/>
      <c r="G119" s="284"/>
      <c r="H119" s="284"/>
      <c r="I119" s="284"/>
      <c r="J119" s="284"/>
      <c r="K119" s="284"/>
      <c r="L119" s="108">
        <f>L112+L118</f>
        <v>0</v>
      </c>
    </row>
    <row r="120" spans="1:12" hidden="1" outlineLevel="1" collapsed="1">
      <c r="A120" s="361" t="s">
        <v>458</v>
      </c>
      <c r="B120" s="361"/>
      <c r="C120" s="361"/>
      <c r="D120" s="361"/>
      <c r="E120" s="361"/>
      <c r="F120" s="361"/>
      <c r="G120" s="361"/>
      <c r="H120" s="361"/>
      <c r="I120" s="361"/>
      <c r="J120" s="361"/>
      <c r="K120" s="361"/>
      <c r="L120" s="361"/>
    </row>
    <row r="121" spans="1:12" hidden="1" outlineLevel="2">
      <c r="A121" s="285" t="s">
        <v>103</v>
      </c>
      <c r="B121" s="284" t="s">
        <v>459</v>
      </c>
      <c r="C121" s="284"/>
      <c r="D121" s="284"/>
      <c r="E121" s="284"/>
      <c r="F121" s="284"/>
      <c r="G121" s="192"/>
      <c r="H121" s="298"/>
      <c r="I121" s="298"/>
      <c r="J121" s="298"/>
      <c r="K121" s="192"/>
      <c r="L121" s="108">
        <f>'CO2'!L128</f>
        <v>0</v>
      </c>
    </row>
    <row r="122" spans="1:12" ht="38.25" hidden="1" customHeight="1" outlineLevel="2">
      <c r="A122" s="287"/>
      <c r="B122" s="296" t="s">
        <v>470</v>
      </c>
      <c r="C122" s="296"/>
      <c r="D122" s="296"/>
      <c r="E122" s="296" t="s">
        <v>412</v>
      </c>
      <c r="F122" s="296"/>
      <c r="G122" s="191" t="s">
        <v>413</v>
      </c>
      <c r="H122" s="296" t="s">
        <v>414</v>
      </c>
      <c r="I122" s="296"/>
      <c r="J122" s="296"/>
      <c r="K122" s="191" t="s">
        <v>415</v>
      </c>
      <c r="L122" s="191" t="s">
        <v>109</v>
      </c>
    </row>
    <row r="123" spans="1:12" hidden="1" outlineLevel="2">
      <c r="A123" s="287"/>
      <c r="B123" s="356"/>
      <c r="C123" s="356"/>
      <c r="D123" s="356"/>
      <c r="E123" s="356"/>
      <c r="F123" s="356"/>
      <c r="G123" s="189"/>
      <c r="H123" s="378"/>
      <c r="I123" s="378"/>
      <c r="J123" s="378"/>
      <c r="K123" s="107">
        <f>E123-B123</f>
        <v>0</v>
      </c>
      <c r="L123" s="298"/>
    </row>
    <row r="124" spans="1:12" hidden="1" outlineLevel="2">
      <c r="A124" s="287"/>
      <c r="B124" s="356"/>
      <c r="C124" s="356"/>
      <c r="D124" s="356"/>
      <c r="E124" s="356"/>
      <c r="F124" s="356"/>
      <c r="G124" s="189"/>
      <c r="H124" s="378"/>
      <c r="I124" s="378"/>
      <c r="J124" s="378"/>
      <c r="K124" s="107">
        <f>E124-B124</f>
        <v>0</v>
      </c>
      <c r="L124" s="298"/>
    </row>
    <row r="125" spans="1:12" hidden="1" outlineLevel="2">
      <c r="A125" s="287"/>
      <c r="B125" s="356"/>
      <c r="C125" s="356"/>
      <c r="D125" s="356"/>
      <c r="E125" s="356"/>
      <c r="F125" s="356"/>
      <c r="G125" s="189"/>
      <c r="H125" s="401"/>
      <c r="I125" s="401"/>
      <c r="J125" s="401"/>
      <c r="K125" s="107">
        <f>E125-B125</f>
        <v>0</v>
      </c>
      <c r="L125" s="298"/>
    </row>
    <row r="126" spans="1:12" hidden="1" outlineLevel="2">
      <c r="A126" s="287"/>
      <c r="B126" s="356"/>
      <c r="C126" s="356"/>
      <c r="D126" s="356"/>
      <c r="E126" s="356"/>
      <c r="F126" s="356"/>
      <c r="G126" s="189"/>
      <c r="H126" s="408"/>
      <c r="I126" s="408"/>
      <c r="J126" s="408"/>
      <c r="K126" s="107">
        <f>E126-B126</f>
        <v>0</v>
      </c>
      <c r="L126" s="298"/>
    </row>
    <row r="127" spans="1:12" ht="12.75" hidden="1" customHeight="1" outlineLevel="1" collapsed="1">
      <c r="A127" s="289"/>
      <c r="B127" s="422" t="s">
        <v>460</v>
      </c>
      <c r="C127" s="423"/>
      <c r="D127" s="423"/>
      <c r="E127" s="423"/>
      <c r="F127" s="423"/>
      <c r="G127" s="423"/>
      <c r="H127" s="423"/>
      <c r="I127" s="423"/>
      <c r="J127" s="423"/>
      <c r="K127" s="424"/>
      <c r="L127" s="108">
        <f>SUM(K123:K126)</f>
        <v>0</v>
      </c>
    </row>
    <row r="128" spans="1:12" ht="12.75" hidden="1" customHeight="1" outlineLevel="1">
      <c r="A128" s="194"/>
      <c r="B128" s="402" t="s">
        <v>461</v>
      </c>
      <c r="C128" s="403"/>
      <c r="D128" s="403"/>
      <c r="E128" s="403"/>
      <c r="F128" s="403"/>
      <c r="G128" s="403"/>
      <c r="H128" s="403"/>
      <c r="I128" s="403"/>
      <c r="J128" s="403"/>
      <c r="K128" s="404"/>
      <c r="L128" s="108">
        <f>L121+L127</f>
        <v>0</v>
      </c>
    </row>
    <row r="129" spans="1:18" hidden="1" outlineLevel="1">
      <c r="A129" s="361" t="s">
        <v>462</v>
      </c>
      <c r="B129" s="361"/>
      <c r="C129" s="361"/>
      <c r="D129" s="361"/>
      <c r="E129" s="361"/>
      <c r="F129" s="361"/>
      <c r="G129" s="361"/>
      <c r="H129" s="361"/>
      <c r="I129" s="361"/>
      <c r="J129" s="361"/>
      <c r="K129" s="361"/>
      <c r="L129" s="108">
        <f>SUM(L15,L21,L27,L39,L49,L59,L70,L78,L86,L94,L103,L112,L121)</f>
        <v>0</v>
      </c>
      <c r="N129" s="3"/>
    </row>
    <row r="130" spans="1:18" hidden="1" outlineLevel="1">
      <c r="A130" s="418" t="s">
        <v>473</v>
      </c>
      <c r="B130" s="361"/>
      <c r="C130" s="361"/>
      <c r="D130" s="361"/>
      <c r="E130" s="361"/>
      <c r="F130" s="361"/>
      <c r="G130" s="361"/>
      <c r="H130" s="361"/>
      <c r="I130" s="361"/>
      <c r="J130" s="361"/>
      <c r="K130" s="361"/>
      <c r="L130" s="108">
        <f>SUM(L18+L24+L36+L46+L56+L67+L75+L83+L91+L100+L109+L118+L127)</f>
        <v>0</v>
      </c>
    </row>
    <row r="131" spans="1:18" hidden="1" outlineLevel="1">
      <c r="A131" s="418" t="s">
        <v>464</v>
      </c>
      <c r="B131" s="361"/>
      <c r="C131" s="361"/>
      <c r="D131" s="361"/>
      <c r="E131" s="361"/>
      <c r="F131" s="361"/>
      <c r="G131" s="361"/>
      <c r="H131" s="361"/>
      <c r="I131" s="361"/>
      <c r="J131" s="361"/>
      <c r="K131" s="361"/>
      <c r="L131" s="108">
        <f>L129+L130</f>
        <v>0</v>
      </c>
    </row>
    <row r="132" spans="1:18" ht="13.5" hidden="1" outlineLevel="1" thickBot="1">
      <c r="A132" s="418" t="s">
        <v>197</v>
      </c>
      <c r="B132" s="361"/>
      <c r="C132" s="361"/>
      <c r="D132" s="361"/>
      <c r="E132" s="361"/>
      <c r="F132" s="361"/>
      <c r="G132" s="361"/>
      <c r="H132" s="361"/>
      <c r="I132" s="361"/>
      <c r="J132" s="361"/>
      <c r="K132" s="361"/>
      <c r="L132" s="115">
        <f>'CO2'!L132</f>
        <v>0</v>
      </c>
    </row>
    <row r="133" spans="1:18" ht="14.45" customHeight="1">
      <c r="A133" s="419" t="s">
        <v>465</v>
      </c>
      <c r="B133" s="420"/>
      <c r="C133" s="420"/>
      <c r="D133" s="420"/>
      <c r="E133" s="420"/>
      <c r="F133" s="420"/>
      <c r="G133" s="420"/>
      <c r="H133" s="420"/>
      <c r="I133" s="420"/>
      <c r="J133" s="420"/>
      <c r="K133" s="420"/>
      <c r="L133" s="421"/>
    </row>
    <row r="134" spans="1:18" ht="26.1" customHeight="1">
      <c r="A134" s="405" t="s">
        <v>466</v>
      </c>
      <c r="B134" s="406"/>
      <c r="C134" s="406"/>
      <c r="D134" s="406"/>
      <c r="E134" s="406"/>
      <c r="F134" s="406"/>
      <c r="G134" s="406"/>
      <c r="H134" s="406"/>
      <c r="I134" s="406"/>
      <c r="J134" s="406"/>
      <c r="K134" s="406"/>
      <c r="L134" s="407"/>
    </row>
    <row r="135" spans="1:18" ht="30" customHeight="1">
      <c r="A135" s="412" t="s">
        <v>204</v>
      </c>
      <c r="B135" s="413"/>
      <c r="C135" s="413"/>
      <c r="D135" s="413"/>
      <c r="E135" s="413"/>
      <c r="F135" s="413"/>
      <c r="G135" s="414"/>
      <c r="H135" s="414"/>
      <c r="I135" s="414"/>
      <c r="J135" s="414"/>
      <c r="K135" s="190" t="s">
        <v>205</v>
      </c>
      <c r="L135" s="113"/>
    </row>
    <row r="136" spans="1:18" ht="30.75" customHeight="1">
      <c r="A136" s="412" t="s">
        <v>207</v>
      </c>
      <c r="B136" s="413"/>
      <c r="C136" s="413"/>
      <c r="D136" s="413"/>
      <c r="E136" s="413"/>
      <c r="F136" s="413"/>
      <c r="G136" s="414"/>
      <c r="H136" s="414"/>
      <c r="I136" s="414"/>
      <c r="J136" s="414"/>
      <c r="K136" s="190" t="s">
        <v>205</v>
      </c>
      <c r="L136" s="113"/>
    </row>
    <row r="137" spans="1:18" ht="31.5" customHeight="1" thickBot="1">
      <c r="A137" s="415" t="s">
        <v>467</v>
      </c>
      <c r="B137" s="416"/>
      <c r="C137" s="416"/>
      <c r="D137" s="416"/>
      <c r="E137" s="416"/>
      <c r="F137" s="416"/>
      <c r="G137" s="417"/>
      <c r="H137" s="417"/>
      <c r="I137" s="417"/>
      <c r="J137" s="417"/>
      <c r="K137" s="85" t="s">
        <v>205</v>
      </c>
      <c r="L137" s="114"/>
    </row>
    <row r="138" spans="1:18">
      <c r="A138" s="409" t="s">
        <v>209</v>
      </c>
      <c r="B138" s="410"/>
      <c r="C138" s="410"/>
      <c r="D138" s="410"/>
      <c r="E138" s="410"/>
      <c r="F138" s="410"/>
      <c r="G138" s="410"/>
      <c r="H138" s="410"/>
      <c r="I138" s="410"/>
      <c r="J138" s="410"/>
      <c r="K138" s="410"/>
      <c r="L138" s="411"/>
    </row>
    <row r="139" spans="1:18" s="1" customFormat="1" ht="11.25" customHeight="1">
      <c r="A139" s="2"/>
      <c r="B139" s="2"/>
      <c r="C139" s="2"/>
      <c r="D139" s="2"/>
      <c r="E139" s="2"/>
      <c r="F139" s="2"/>
      <c r="G139" s="2"/>
      <c r="I139"/>
      <c r="J139"/>
      <c r="K139"/>
      <c r="L139"/>
      <c r="M139"/>
      <c r="N139"/>
      <c r="O139"/>
      <c r="P139"/>
      <c r="Q139"/>
      <c r="R139"/>
    </row>
    <row r="140" spans="1:18" s="1" customFormat="1" ht="54.95" customHeight="1">
      <c r="A140" s="280" t="s">
        <v>468</v>
      </c>
      <c r="B140" s="280"/>
      <c r="C140" s="280"/>
      <c r="D140" s="280"/>
      <c r="E140" s="280"/>
      <c r="F140" s="280"/>
      <c r="G140" s="280"/>
      <c r="H140" s="280"/>
      <c r="I140" s="280"/>
      <c r="J140" s="280"/>
      <c r="K140" s="280"/>
      <c r="L140" s="280"/>
      <c r="M140"/>
      <c r="N140"/>
      <c r="O140"/>
      <c r="P140"/>
      <c r="Q140"/>
      <c r="R140"/>
    </row>
    <row r="146" spans="7:7">
      <c r="G146" s="35"/>
    </row>
  </sheetData>
  <sheetProtection algorithmName="SHA-512" hashValue="vwfCjOt5+3uBKGhMgfZnp6xLIocHFi5dBHhSJQTHef6V3D6vbjVVq+Powol4DBh7HAjSAycojrPliD341tFcWQ==" saltValue="WWSiXRCGPK5BJYQA1Tr4AA==" spinCount="100000" sheet="1" formatCells="0" formatColumns="0" formatRows="0"/>
  <mergeCells count="311">
    <mergeCell ref="A4:E4"/>
    <mergeCell ref="F4:G4"/>
    <mergeCell ref="H4:J4"/>
    <mergeCell ref="K4:L4"/>
    <mergeCell ref="A6:E6"/>
    <mergeCell ref="F6:G6"/>
    <mergeCell ref="H6:J6"/>
    <mergeCell ref="K6:L6"/>
    <mergeCell ref="A1:L1"/>
    <mergeCell ref="A2:E2"/>
    <mergeCell ref="F2:G2"/>
    <mergeCell ref="H2:J2"/>
    <mergeCell ref="K2:L2"/>
    <mergeCell ref="A3:E3"/>
    <mergeCell ref="F3:G3"/>
    <mergeCell ref="H3:J3"/>
    <mergeCell ref="K3:L3"/>
    <mergeCell ref="A5:E5"/>
    <mergeCell ref="F5:G5"/>
    <mergeCell ref="H5:J5"/>
    <mergeCell ref="K5:L5"/>
    <mergeCell ref="A10:E10"/>
    <mergeCell ref="F10:G10"/>
    <mergeCell ref="H10:J10"/>
    <mergeCell ref="K10:L10"/>
    <mergeCell ref="A11:L11"/>
    <mergeCell ref="A12:L12"/>
    <mergeCell ref="A7:E7"/>
    <mergeCell ref="F7:G7"/>
    <mergeCell ref="H7:J7"/>
    <mergeCell ref="K7:L7"/>
    <mergeCell ref="A8:L8"/>
    <mergeCell ref="A9:E9"/>
    <mergeCell ref="F9:G9"/>
    <mergeCell ref="H9:J9"/>
    <mergeCell ref="K9:L9"/>
    <mergeCell ref="A13:L13"/>
    <mergeCell ref="A14:L14"/>
    <mergeCell ref="A15:A18"/>
    <mergeCell ref="B15:K15"/>
    <mergeCell ref="B16:D16"/>
    <mergeCell ref="E16:F16"/>
    <mergeCell ref="H16:J16"/>
    <mergeCell ref="B17:D17"/>
    <mergeCell ref="E17:F17"/>
    <mergeCell ref="H17:J17"/>
    <mergeCell ref="B18:K18"/>
    <mergeCell ref="B19:K19"/>
    <mergeCell ref="A20:L20"/>
    <mergeCell ref="A21:A24"/>
    <mergeCell ref="B21:K21"/>
    <mergeCell ref="B22:D22"/>
    <mergeCell ref="E22:F22"/>
    <mergeCell ref="H22:J22"/>
    <mergeCell ref="B23:D23"/>
    <mergeCell ref="E23:F23"/>
    <mergeCell ref="H23:J23"/>
    <mergeCell ref="B24:K24"/>
    <mergeCell ref="B25:K25"/>
    <mergeCell ref="A26:L26"/>
    <mergeCell ref="A27:A36"/>
    <mergeCell ref="B27:K27"/>
    <mergeCell ref="B28:D28"/>
    <mergeCell ref="E28:F28"/>
    <mergeCell ref="H28:J28"/>
    <mergeCell ref="B29:D29"/>
    <mergeCell ref="E32:F32"/>
    <mergeCell ref="H32:J32"/>
    <mergeCell ref="B33:D33"/>
    <mergeCell ref="E33:F33"/>
    <mergeCell ref="H33:J33"/>
    <mergeCell ref="B34:D34"/>
    <mergeCell ref="E34:F34"/>
    <mergeCell ref="H34:J34"/>
    <mergeCell ref="E29:F29"/>
    <mergeCell ref="H29:J29"/>
    <mergeCell ref="B30:D30"/>
    <mergeCell ref="E30:F30"/>
    <mergeCell ref="H30:J30"/>
    <mergeCell ref="B31:D31"/>
    <mergeCell ref="E31:F31"/>
    <mergeCell ref="H31:J31"/>
    <mergeCell ref="B32:D32"/>
    <mergeCell ref="L41:L45"/>
    <mergeCell ref="B42:D42"/>
    <mergeCell ref="E42:F42"/>
    <mergeCell ref="H42:J42"/>
    <mergeCell ref="B43:D43"/>
    <mergeCell ref="E43:F43"/>
    <mergeCell ref="H43:J43"/>
    <mergeCell ref="B35:D35"/>
    <mergeCell ref="E35:K35"/>
    <mergeCell ref="B36:K36"/>
    <mergeCell ref="B37:K37"/>
    <mergeCell ref="A38:L38"/>
    <mergeCell ref="A39:A46"/>
    <mergeCell ref="B39:K39"/>
    <mergeCell ref="B40:D40"/>
    <mergeCell ref="E40:F40"/>
    <mergeCell ref="H40:J40"/>
    <mergeCell ref="L29:L35"/>
    <mergeCell ref="B44:D44"/>
    <mergeCell ref="E44:F44"/>
    <mergeCell ref="H44:J44"/>
    <mergeCell ref="B45:D45"/>
    <mergeCell ref="E45:K45"/>
    <mergeCell ref="B46:K46"/>
    <mergeCell ref="B41:D41"/>
    <mergeCell ref="E41:F41"/>
    <mergeCell ref="H41:J41"/>
    <mergeCell ref="B47:K47"/>
    <mergeCell ref="A48:L48"/>
    <mergeCell ref="A49:A56"/>
    <mergeCell ref="B49:K49"/>
    <mergeCell ref="B50:D50"/>
    <mergeCell ref="E50:F50"/>
    <mergeCell ref="H50:J50"/>
    <mergeCell ref="B51:D51"/>
    <mergeCell ref="E51:F51"/>
    <mergeCell ref="H51:J51"/>
    <mergeCell ref="B55:D55"/>
    <mergeCell ref="E55:K55"/>
    <mergeCell ref="B56:K56"/>
    <mergeCell ref="L51:L55"/>
    <mergeCell ref="B52:D52"/>
    <mergeCell ref="E52:F52"/>
    <mergeCell ref="H52:J52"/>
    <mergeCell ref="B53:D53"/>
    <mergeCell ref="E53:F53"/>
    <mergeCell ref="H53:J53"/>
    <mergeCell ref="B54:D54"/>
    <mergeCell ref="E54:F54"/>
    <mergeCell ref="H54:J54"/>
    <mergeCell ref="B63:D63"/>
    <mergeCell ref="E63:F63"/>
    <mergeCell ref="H63:J63"/>
    <mergeCell ref="B66:D66"/>
    <mergeCell ref="E66:K66"/>
    <mergeCell ref="B57:K57"/>
    <mergeCell ref="A58:L58"/>
    <mergeCell ref="A59:A67"/>
    <mergeCell ref="B59:K59"/>
    <mergeCell ref="B60:D60"/>
    <mergeCell ref="E60:F60"/>
    <mergeCell ref="H60:J60"/>
    <mergeCell ref="B64:D64"/>
    <mergeCell ref="E64:F64"/>
    <mergeCell ref="H64:J64"/>
    <mergeCell ref="B65:D65"/>
    <mergeCell ref="E65:F65"/>
    <mergeCell ref="H65:J65"/>
    <mergeCell ref="B61:D61"/>
    <mergeCell ref="B67:K67"/>
    <mergeCell ref="B68:K68"/>
    <mergeCell ref="A69:L69"/>
    <mergeCell ref="A70:A75"/>
    <mergeCell ref="B70:K70"/>
    <mergeCell ref="B71:D71"/>
    <mergeCell ref="E71:F71"/>
    <mergeCell ref="H71:J71"/>
    <mergeCell ref="L61:L66"/>
    <mergeCell ref="B72:D72"/>
    <mergeCell ref="E72:F72"/>
    <mergeCell ref="H72:J72"/>
    <mergeCell ref="L72:L74"/>
    <mergeCell ref="B73:D73"/>
    <mergeCell ref="E73:F73"/>
    <mergeCell ref="H73:J73"/>
    <mergeCell ref="B74:D74"/>
    <mergeCell ref="E74:F74"/>
    <mergeCell ref="H74:J74"/>
    <mergeCell ref="E61:F61"/>
    <mergeCell ref="H61:J61"/>
    <mergeCell ref="B62:D62"/>
    <mergeCell ref="E62:F62"/>
    <mergeCell ref="H62:J62"/>
    <mergeCell ref="H80:J80"/>
    <mergeCell ref="L80:L82"/>
    <mergeCell ref="B81:D81"/>
    <mergeCell ref="E81:F81"/>
    <mergeCell ref="H81:J81"/>
    <mergeCell ref="B82:D82"/>
    <mergeCell ref="E82:F82"/>
    <mergeCell ref="H82:J82"/>
    <mergeCell ref="B75:K75"/>
    <mergeCell ref="B76:K76"/>
    <mergeCell ref="A77:L77"/>
    <mergeCell ref="A78:A83"/>
    <mergeCell ref="B78:K78"/>
    <mergeCell ref="B79:D79"/>
    <mergeCell ref="E79:F79"/>
    <mergeCell ref="H79:J79"/>
    <mergeCell ref="B80:D80"/>
    <mergeCell ref="E80:F80"/>
    <mergeCell ref="H88:J88"/>
    <mergeCell ref="L88:L90"/>
    <mergeCell ref="B89:D89"/>
    <mergeCell ref="E89:F89"/>
    <mergeCell ref="H89:J89"/>
    <mergeCell ref="B90:D90"/>
    <mergeCell ref="E90:F90"/>
    <mergeCell ref="H90:J90"/>
    <mergeCell ref="B83:K83"/>
    <mergeCell ref="B84:K84"/>
    <mergeCell ref="A85:L85"/>
    <mergeCell ref="A86:A91"/>
    <mergeCell ref="B86:K86"/>
    <mergeCell ref="B87:D87"/>
    <mergeCell ref="E87:F87"/>
    <mergeCell ref="H87:J87"/>
    <mergeCell ref="B88:D88"/>
    <mergeCell ref="E88:F88"/>
    <mergeCell ref="B91:K91"/>
    <mergeCell ref="B92:K92"/>
    <mergeCell ref="A93:L93"/>
    <mergeCell ref="A94:A100"/>
    <mergeCell ref="B94:K94"/>
    <mergeCell ref="B95:D95"/>
    <mergeCell ref="E95:F95"/>
    <mergeCell ref="H95:J95"/>
    <mergeCell ref="B96:D96"/>
    <mergeCell ref="E96:F96"/>
    <mergeCell ref="H96:J96"/>
    <mergeCell ref="L96:L99"/>
    <mergeCell ref="B97:D97"/>
    <mergeCell ref="E97:F97"/>
    <mergeCell ref="H97:J97"/>
    <mergeCell ref="B98:D98"/>
    <mergeCell ref="E98:F98"/>
    <mergeCell ref="H98:J98"/>
    <mergeCell ref="B99:D99"/>
    <mergeCell ref="E99:K99"/>
    <mergeCell ref="B100:K100"/>
    <mergeCell ref="B101:K101"/>
    <mergeCell ref="A102:L102"/>
    <mergeCell ref="A103:A109"/>
    <mergeCell ref="B103:K103"/>
    <mergeCell ref="B104:D104"/>
    <mergeCell ref="E104:F104"/>
    <mergeCell ref="H104:J104"/>
    <mergeCell ref="B105:D105"/>
    <mergeCell ref="E105:F105"/>
    <mergeCell ref="B108:D108"/>
    <mergeCell ref="E108:F108"/>
    <mergeCell ref="H108:J108"/>
    <mergeCell ref="B109:K109"/>
    <mergeCell ref="B110:K110"/>
    <mergeCell ref="A111:L111"/>
    <mergeCell ref="H105:J105"/>
    <mergeCell ref="B106:D106"/>
    <mergeCell ref="E106:F106"/>
    <mergeCell ref="H106:J106"/>
    <mergeCell ref="B107:D107"/>
    <mergeCell ref="E107:F107"/>
    <mergeCell ref="H107:J107"/>
    <mergeCell ref="A112:A118"/>
    <mergeCell ref="B112:K112"/>
    <mergeCell ref="B113:D113"/>
    <mergeCell ref="E113:F113"/>
    <mergeCell ref="H113:J113"/>
    <mergeCell ref="B114:D114"/>
    <mergeCell ref="E114:F114"/>
    <mergeCell ref="H114:J114"/>
    <mergeCell ref="B118:K118"/>
    <mergeCell ref="L114:L117"/>
    <mergeCell ref="B115:D115"/>
    <mergeCell ref="E115:F115"/>
    <mergeCell ref="H115:J115"/>
    <mergeCell ref="B116:D116"/>
    <mergeCell ref="E116:F116"/>
    <mergeCell ref="H116:J116"/>
    <mergeCell ref="B117:D117"/>
    <mergeCell ref="E117:F117"/>
    <mergeCell ref="H117:J117"/>
    <mergeCell ref="B119:K119"/>
    <mergeCell ref="A120:L120"/>
    <mergeCell ref="A121:A127"/>
    <mergeCell ref="B121:F121"/>
    <mergeCell ref="H121:J121"/>
    <mergeCell ref="B122:D122"/>
    <mergeCell ref="E122:F122"/>
    <mergeCell ref="H122:J122"/>
    <mergeCell ref="B123:D123"/>
    <mergeCell ref="E123:F123"/>
    <mergeCell ref="H126:J126"/>
    <mergeCell ref="B127:K127"/>
    <mergeCell ref="B128:K128"/>
    <mergeCell ref="A129:K129"/>
    <mergeCell ref="A130:K130"/>
    <mergeCell ref="A132:K132"/>
    <mergeCell ref="H123:J123"/>
    <mergeCell ref="L123:L126"/>
    <mergeCell ref="B124:D124"/>
    <mergeCell ref="E124:F124"/>
    <mergeCell ref="H124:J124"/>
    <mergeCell ref="B125:D125"/>
    <mergeCell ref="E125:F125"/>
    <mergeCell ref="H125:J125"/>
    <mergeCell ref="B126:D126"/>
    <mergeCell ref="E126:F126"/>
    <mergeCell ref="A131:K131"/>
    <mergeCell ref="A137:F137"/>
    <mergeCell ref="G137:J137"/>
    <mergeCell ref="A138:L138"/>
    <mergeCell ref="A140:L140"/>
    <mergeCell ref="A133:L133"/>
    <mergeCell ref="A134:L134"/>
    <mergeCell ref="A135:F135"/>
    <mergeCell ref="G135:J135"/>
    <mergeCell ref="A136:F136"/>
    <mergeCell ref="G136:J136"/>
  </mergeCells>
  <dataValidations count="1">
    <dataValidation operator="lessThan" allowBlank="1" showInputMessage="1" showErrorMessage="1" sqref="A1:L1048576" xr:uid="{7FD78AB3-95CF-4959-9F86-C92CCC549F71}"/>
  </dataValidations>
  <pageMargins left="0.7" right="0.7" top="0.75" bottom="0.75" header="0.3" footer="0.3"/>
  <pageSetup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701C61-2071-4221-97C2-2B05D4864621}">
  <sheetPr>
    <outlinePr summaryBelow="0"/>
  </sheetPr>
  <dimension ref="A1:R146"/>
  <sheetViews>
    <sheetView workbookViewId="0">
      <selection activeCell="A139" sqref="A139"/>
    </sheetView>
  </sheetViews>
  <sheetFormatPr defaultRowHeight="12.95" outlineLevelRow="2"/>
  <cols>
    <col min="1" max="1" width="2" style="34" customWidth="1"/>
    <col min="2" max="2" width="12.6640625" style="34" customWidth="1"/>
    <col min="3" max="3" width="2.1640625" style="34" customWidth="1"/>
    <col min="4" max="4" width="3.33203125" style="34" customWidth="1"/>
    <col min="5" max="5" width="4.83203125" style="34" customWidth="1"/>
    <col min="6" max="6" width="12.83203125" style="34" customWidth="1"/>
    <col min="7" max="7" width="29.6640625" style="34" customWidth="1"/>
    <col min="8" max="8" width="9.6640625" style="34" customWidth="1"/>
    <col min="9" max="9" width="15.5" style="34" customWidth="1"/>
    <col min="10" max="10" width="3.83203125" style="34" customWidth="1"/>
    <col min="11" max="12" width="18" style="34" customWidth="1"/>
  </cols>
  <sheetData>
    <row r="1" spans="1:12" ht="18.600000000000001">
      <c r="A1" s="342" t="s">
        <v>394</v>
      </c>
      <c r="B1" s="343"/>
      <c r="C1" s="343"/>
      <c r="D1" s="343"/>
      <c r="E1" s="343"/>
      <c r="F1" s="343"/>
      <c r="G1" s="343"/>
      <c r="H1" s="343"/>
      <c r="I1" s="343"/>
      <c r="J1" s="343"/>
      <c r="K1" s="343"/>
      <c r="L1" s="344"/>
    </row>
    <row r="2" spans="1:12">
      <c r="A2" s="345" t="s">
        <v>395</v>
      </c>
      <c r="B2" s="346"/>
      <c r="C2" s="346"/>
      <c r="D2" s="346"/>
      <c r="E2" s="346"/>
      <c r="F2" s="347" t="str">
        <f>IF('11.17'!D2="","",'11.17'!D2)</f>
        <v>Program:</v>
      </c>
      <c r="G2" s="347"/>
      <c r="H2" s="348" t="s">
        <v>396</v>
      </c>
      <c r="I2" s="348"/>
      <c r="J2" s="349"/>
      <c r="K2" s="350" t="s">
        <v>474</v>
      </c>
      <c r="L2" s="351"/>
    </row>
    <row r="3" spans="1:12">
      <c r="A3" s="300" t="s">
        <v>97</v>
      </c>
      <c r="B3" s="301"/>
      <c r="C3" s="301"/>
      <c r="D3" s="301"/>
      <c r="E3" s="302"/>
      <c r="F3" s="303" t="str">
        <f>IF('11.17'!C6="","",'11.17'!C6)</f>
        <v/>
      </c>
      <c r="G3" s="303"/>
      <c r="H3" s="301" t="s">
        <v>99</v>
      </c>
      <c r="I3" s="301"/>
      <c r="J3" s="302"/>
      <c r="K3" s="352" t="str">
        <f>IF('11.17'!C7="","",'11.17'!C7)</f>
        <v/>
      </c>
      <c r="L3" s="353"/>
    </row>
    <row r="4" spans="1:12">
      <c r="A4" s="300" t="s">
        <v>398</v>
      </c>
      <c r="B4" s="301"/>
      <c r="C4" s="301"/>
      <c r="D4" s="301"/>
      <c r="E4" s="302"/>
      <c r="F4" s="303" t="str">
        <f>IF('11.17'!G6="SELECT FROM DROP DOWN","",'11.17'!G6)</f>
        <v/>
      </c>
      <c r="G4" s="303"/>
      <c r="H4" s="301" t="s">
        <v>100</v>
      </c>
      <c r="I4" s="301"/>
      <c r="J4" s="302"/>
      <c r="K4" s="303" t="str">
        <f>IF('11.17'!G7="","",'11.17'!G7)</f>
        <v/>
      </c>
      <c r="L4" s="304"/>
    </row>
    <row r="5" spans="1:12" ht="27.6" customHeight="1">
      <c r="A5" s="337" t="s">
        <v>96</v>
      </c>
      <c r="B5" s="338"/>
      <c r="C5" s="338"/>
      <c r="D5" s="338"/>
      <c r="E5" s="339"/>
      <c r="F5" s="340" t="str">
        <f>IF('11.17'!G7="SELECT FROM DROP DOWN","",'11.17'!G7)</f>
        <v/>
      </c>
      <c r="G5" s="340"/>
      <c r="H5" s="338" t="s">
        <v>399</v>
      </c>
      <c r="I5" s="338"/>
      <c r="J5" s="339"/>
      <c r="K5" s="340" t="str">
        <f>IF('11.17'!G8="","",'11.17'!G8)</f>
        <v/>
      </c>
      <c r="L5" s="341"/>
    </row>
    <row r="6" spans="1:12">
      <c r="A6" s="300" t="s">
        <v>88</v>
      </c>
      <c r="B6" s="301"/>
      <c r="C6" s="301"/>
      <c r="D6" s="301"/>
      <c r="E6" s="302"/>
      <c r="F6" s="303" t="str">
        <f>IF('11.17'!C2="","",'11.17'!C2)</f>
        <v/>
      </c>
      <c r="G6" s="303"/>
      <c r="H6" s="301" t="s">
        <v>92</v>
      </c>
      <c r="I6" s="301"/>
      <c r="J6" s="302"/>
      <c r="K6" s="303" t="str">
        <f>IF('11.17'!C4="","",'11.17'!C4)</f>
        <v/>
      </c>
      <c r="L6" s="304"/>
    </row>
    <row r="7" spans="1:12" ht="28.5" customHeight="1" thickBot="1">
      <c r="A7" s="305" t="s">
        <v>400</v>
      </c>
      <c r="B7" s="306"/>
      <c r="C7" s="306"/>
      <c r="D7" s="306"/>
      <c r="E7" s="306"/>
      <c r="F7" s="307">
        <f>'CO3'!L131</f>
        <v>0</v>
      </c>
      <c r="G7" s="307"/>
      <c r="H7" s="308" t="s">
        <v>401</v>
      </c>
      <c r="I7" s="309"/>
      <c r="J7" s="309"/>
      <c r="K7" s="310"/>
      <c r="L7" s="311"/>
    </row>
    <row r="8" spans="1:12" ht="15" collapsed="1" thickBot="1">
      <c r="A8" s="330" t="s">
        <v>402</v>
      </c>
      <c r="B8" s="331"/>
      <c r="C8" s="331"/>
      <c r="D8" s="331"/>
      <c r="E8" s="331"/>
      <c r="F8" s="331"/>
      <c r="G8" s="331"/>
      <c r="H8" s="331"/>
      <c r="I8" s="331"/>
      <c r="J8" s="331"/>
      <c r="K8" s="331"/>
      <c r="L8" s="332"/>
    </row>
    <row r="9" spans="1:12" ht="28.5" hidden="1" customHeight="1" outlineLevel="1">
      <c r="A9" s="333" t="s">
        <v>403</v>
      </c>
      <c r="B9" s="334"/>
      <c r="C9" s="334"/>
      <c r="D9" s="334"/>
      <c r="E9" s="334"/>
      <c r="F9" s="335"/>
      <c r="G9" s="335"/>
      <c r="H9" s="334" t="s">
        <v>404</v>
      </c>
      <c r="I9" s="334"/>
      <c r="J9" s="334"/>
      <c r="K9" s="335"/>
      <c r="L9" s="336"/>
    </row>
    <row r="10" spans="1:12" ht="26.25" hidden="1" customHeight="1" outlineLevel="1">
      <c r="A10" s="312" t="s">
        <v>405</v>
      </c>
      <c r="B10" s="313"/>
      <c r="C10" s="313"/>
      <c r="D10" s="313"/>
      <c r="E10" s="314"/>
      <c r="F10" s="315"/>
      <c r="G10" s="315"/>
      <c r="H10" s="316" t="s">
        <v>406</v>
      </c>
      <c r="I10" s="316"/>
      <c r="J10" s="316"/>
      <c r="K10" s="315"/>
      <c r="L10" s="317"/>
    </row>
    <row r="11" spans="1:12" ht="17.25" hidden="1" customHeight="1" outlineLevel="1">
      <c r="A11" s="318" t="s">
        <v>407</v>
      </c>
      <c r="B11" s="316"/>
      <c r="C11" s="316"/>
      <c r="D11" s="316"/>
      <c r="E11" s="316"/>
      <c r="F11" s="316"/>
      <c r="G11" s="316"/>
      <c r="H11" s="316"/>
      <c r="I11" s="316"/>
      <c r="J11" s="316"/>
      <c r="K11" s="316"/>
      <c r="L11" s="319"/>
    </row>
    <row r="12" spans="1:12" ht="42" hidden="1" customHeight="1" outlineLevel="1" thickBot="1">
      <c r="A12" s="320"/>
      <c r="B12" s="321"/>
      <c r="C12" s="321"/>
      <c r="D12" s="321"/>
      <c r="E12" s="321"/>
      <c r="F12" s="321"/>
      <c r="G12" s="321"/>
      <c r="H12" s="321"/>
      <c r="I12" s="321"/>
      <c r="J12" s="321"/>
      <c r="K12" s="321"/>
      <c r="L12" s="322"/>
    </row>
    <row r="13" spans="1:12" ht="15" collapsed="1" thickBot="1">
      <c r="A13" s="323" t="s">
        <v>408</v>
      </c>
      <c r="B13" s="324"/>
      <c r="C13" s="324"/>
      <c r="D13" s="324"/>
      <c r="E13" s="324"/>
      <c r="F13" s="324"/>
      <c r="G13" s="324"/>
      <c r="H13" s="324"/>
      <c r="I13" s="324"/>
      <c r="J13" s="324"/>
      <c r="K13" s="324"/>
      <c r="L13" s="325"/>
    </row>
    <row r="14" spans="1:12" hidden="1" outlineLevel="1" collapsed="1">
      <c r="A14" s="326" t="s">
        <v>409</v>
      </c>
      <c r="B14" s="326"/>
      <c r="C14" s="326"/>
      <c r="D14" s="326"/>
      <c r="E14" s="326"/>
      <c r="F14" s="326"/>
      <c r="G14" s="326"/>
      <c r="H14" s="326"/>
      <c r="I14" s="326"/>
      <c r="J14" s="326"/>
      <c r="K14" s="326"/>
      <c r="L14" s="326"/>
    </row>
    <row r="15" spans="1:12" hidden="1" outlineLevel="2">
      <c r="A15" s="285" t="s">
        <v>103</v>
      </c>
      <c r="B15" s="284" t="s">
        <v>410</v>
      </c>
      <c r="C15" s="284"/>
      <c r="D15" s="284"/>
      <c r="E15" s="284"/>
      <c r="F15" s="284"/>
      <c r="G15" s="284"/>
      <c r="H15" s="284"/>
      <c r="I15" s="284"/>
      <c r="J15" s="284"/>
      <c r="K15" s="284"/>
      <c r="L15" s="108">
        <f>'CO3'!L19</f>
        <v>0</v>
      </c>
    </row>
    <row r="16" spans="1:12" ht="39" hidden="1" outlineLevel="2">
      <c r="A16" s="287"/>
      <c r="B16" s="327" t="s">
        <v>411</v>
      </c>
      <c r="C16" s="328"/>
      <c r="D16" s="329"/>
      <c r="E16" s="327" t="s">
        <v>412</v>
      </c>
      <c r="F16" s="329"/>
      <c r="G16" s="191" t="s">
        <v>413</v>
      </c>
      <c r="H16" s="327" t="s">
        <v>414</v>
      </c>
      <c r="I16" s="328"/>
      <c r="J16" s="329"/>
      <c r="K16" s="191" t="s">
        <v>415</v>
      </c>
      <c r="L16" s="191" t="s">
        <v>109</v>
      </c>
    </row>
    <row r="17" spans="1:12" hidden="1" outlineLevel="2">
      <c r="A17" s="287"/>
      <c r="B17" s="362">
        <f>'CO3'!L19</f>
        <v>0</v>
      </c>
      <c r="C17" s="363"/>
      <c r="D17" s="364"/>
      <c r="E17" s="365"/>
      <c r="F17" s="366"/>
      <c r="G17" s="111"/>
      <c r="H17" s="357"/>
      <c r="I17" s="358"/>
      <c r="J17" s="359"/>
      <c r="K17" s="107">
        <f>IF(E17="",0,E17-B17)</f>
        <v>0</v>
      </c>
      <c r="L17" s="193"/>
    </row>
    <row r="18" spans="1:12" hidden="1" outlineLevel="1" collapsed="1">
      <c r="A18" s="289"/>
      <c r="B18" s="284" t="s">
        <v>416</v>
      </c>
      <c r="C18" s="284"/>
      <c r="D18" s="284"/>
      <c r="E18" s="284"/>
      <c r="F18" s="284"/>
      <c r="G18" s="284"/>
      <c r="H18" s="284"/>
      <c r="I18" s="284"/>
      <c r="J18" s="284"/>
      <c r="K18" s="284"/>
      <c r="L18" s="108">
        <f>K17</f>
        <v>0</v>
      </c>
    </row>
    <row r="19" spans="1:12" hidden="1" outlineLevel="1">
      <c r="A19" s="193"/>
      <c r="B19" s="284" t="s">
        <v>417</v>
      </c>
      <c r="C19" s="284"/>
      <c r="D19" s="284"/>
      <c r="E19" s="284"/>
      <c r="F19" s="284"/>
      <c r="G19" s="284"/>
      <c r="H19" s="284"/>
      <c r="I19" s="284"/>
      <c r="J19" s="284"/>
      <c r="K19" s="284"/>
      <c r="L19" s="108">
        <f>L15+L18</f>
        <v>0</v>
      </c>
    </row>
    <row r="20" spans="1:12" hidden="1" outlineLevel="1" collapsed="1">
      <c r="A20" s="361" t="s">
        <v>418</v>
      </c>
      <c r="B20" s="361"/>
      <c r="C20" s="361"/>
      <c r="D20" s="361"/>
      <c r="E20" s="361"/>
      <c r="F20" s="361"/>
      <c r="G20" s="361"/>
      <c r="H20" s="361"/>
      <c r="I20" s="361"/>
      <c r="J20" s="361"/>
      <c r="K20" s="361"/>
      <c r="L20" s="361"/>
    </row>
    <row r="21" spans="1:12" hidden="1" outlineLevel="2">
      <c r="A21" s="285" t="s">
        <v>103</v>
      </c>
      <c r="B21" s="284" t="s">
        <v>419</v>
      </c>
      <c r="C21" s="284"/>
      <c r="D21" s="284"/>
      <c r="E21" s="284"/>
      <c r="F21" s="284"/>
      <c r="G21" s="284"/>
      <c r="H21" s="284"/>
      <c r="I21" s="284"/>
      <c r="J21" s="284"/>
      <c r="K21" s="284"/>
      <c r="L21" s="108">
        <f>'CO3'!L25</f>
        <v>0</v>
      </c>
    </row>
    <row r="22" spans="1:12" ht="39" hidden="1" outlineLevel="2">
      <c r="A22" s="287"/>
      <c r="B22" s="296" t="s">
        <v>411</v>
      </c>
      <c r="C22" s="296"/>
      <c r="D22" s="296"/>
      <c r="E22" s="296" t="s">
        <v>412</v>
      </c>
      <c r="F22" s="296"/>
      <c r="G22" s="191" t="s">
        <v>413</v>
      </c>
      <c r="H22" s="296" t="s">
        <v>414</v>
      </c>
      <c r="I22" s="296"/>
      <c r="J22" s="296"/>
      <c r="K22" s="191" t="s">
        <v>415</v>
      </c>
      <c r="L22" s="191" t="s">
        <v>109</v>
      </c>
    </row>
    <row r="23" spans="1:12" hidden="1" outlineLevel="2">
      <c r="A23" s="287"/>
      <c r="B23" s="354">
        <f>'CO3'!L25</f>
        <v>0</v>
      </c>
      <c r="C23" s="355"/>
      <c r="D23" s="355"/>
      <c r="E23" s="356"/>
      <c r="F23" s="356"/>
      <c r="G23" s="32"/>
      <c r="H23" s="356"/>
      <c r="I23" s="356"/>
      <c r="J23" s="356"/>
      <c r="K23" s="109">
        <f>IF(E23="",0,E23-B23)</f>
        <v>0</v>
      </c>
      <c r="L23" s="74"/>
    </row>
    <row r="24" spans="1:12" hidden="1" outlineLevel="1" collapsed="1">
      <c r="A24" s="289"/>
      <c r="B24" s="284" t="s">
        <v>420</v>
      </c>
      <c r="C24" s="284"/>
      <c r="D24" s="284"/>
      <c r="E24" s="284"/>
      <c r="F24" s="284"/>
      <c r="G24" s="284"/>
      <c r="H24" s="284"/>
      <c r="I24" s="284"/>
      <c r="J24" s="284"/>
      <c r="K24" s="284"/>
      <c r="L24" s="108">
        <f>K23</f>
        <v>0</v>
      </c>
    </row>
    <row r="25" spans="1:12" hidden="1" outlineLevel="1">
      <c r="A25" s="193"/>
      <c r="B25" s="284" t="s">
        <v>421</v>
      </c>
      <c r="C25" s="284"/>
      <c r="D25" s="284"/>
      <c r="E25" s="284"/>
      <c r="F25" s="284"/>
      <c r="G25" s="284"/>
      <c r="H25" s="284"/>
      <c r="I25" s="284"/>
      <c r="J25" s="284"/>
      <c r="K25" s="284"/>
      <c r="L25" s="108">
        <f>L21+L24</f>
        <v>0</v>
      </c>
    </row>
    <row r="26" spans="1:12" hidden="1" outlineLevel="1" collapsed="1">
      <c r="A26" s="295" t="s">
        <v>118</v>
      </c>
      <c r="B26" s="295"/>
      <c r="C26" s="295"/>
      <c r="D26" s="295"/>
      <c r="E26" s="295"/>
      <c r="F26" s="295"/>
      <c r="G26" s="295"/>
      <c r="H26" s="295"/>
      <c r="I26" s="295"/>
      <c r="J26" s="295"/>
      <c r="K26" s="295"/>
      <c r="L26" s="295"/>
    </row>
    <row r="27" spans="1:12" hidden="1" outlineLevel="2">
      <c r="A27" s="367" t="s">
        <v>119</v>
      </c>
      <c r="B27" s="284" t="s">
        <v>422</v>
      </c>
      <c r="C27" s="284"/>
      <c r="D27" s="284"/>
      <c r="E27" s="284"/>
      <c r="F27" s="284"/>
      <c r="G27" s="284"/>
      <c r="H27" s="284"/>
      <c r="I27" s="284"/>
      <c r="J27" s="284"/>
      <c r="K27" s="284"/>
      <c r="L27" s="108">
        <f>'CO3'!L37</f>
        <v>0</v>
      </c>
    </row>
    <row r="28" spans="1:12" ht="39" hidden="1" outlineLevel="2">
      <c r="A28" s="369"/>
      <c r="B28" s="296" t="s">
        <v>470</v>
      </c>
      <c r="C28" s="296"/>
      <c r="D28" s="296"/>
      <c r="E28" s="296" t="s">
        <v>412</v>
      </c>
      <c r="F28" s="296"/>
      <c r="G28" s="191" t="s">
        <v>424</v>
      </c>
      <c r="H28" s="278" t="s">
        <v>414</v>
      </c>
      <c r="I28" s="278"/>
      <c r="J28" s="278"/>
      <c r="K28" s="191" t="s">
        <v>415</v>
      </c>
      <c r="L28" s="84" t="s">
        <v>109</v>
      </c>
    </row>
    <row r="29" spans="1:12" hidden="1" outlineLevel="2">
      <c r="A29" s="369"/>
      <c r="B29" s="281"/>
      <c r="C29" s="281"/>
      <c r="D29" s="281"/>
      <c r="E29" s="281"/>
      <c r="F29" s="281"/>
      <c r="G29" s="189"/>
      <c r="H29" s="282"/>
      <c r="I29" s="282"/>
      <c r="J29" s="282"/>
      <c r="K29" s="107">
        <f t="shared" ref="K29:K34" si="0">E29-B29</f>
        <v>0</v>
      </c>
      <c r="L29" s="373"/>
    </row>
    <row r="30" spans="1:12" hidden="1" outlineLevel="2">
      <c r="A30" s="369"/>
      <c r="B30" s="281"/>
      <c r="C30" s="281"/>
      <c r="D30" s="281"/>
      <c r="E30" s="281"/>
      <c r="F30" s="281"/>
      <c r="G30" s="189"/>
      <c r="H30" s="283"/>
      <c r="I30" s="283"/>
      <c r="J30" s="283"/>
      <c r="K30" s="107">
        <f t="shared" si="0"/>
        <v>0</v>
      </c>
      <c r="L30" s="374"/>
    </row>
    <row r="31" spans="1:12" hidden="1" outlineLevel="2">
      <c r="A31" s="369"/>
      <c r="B31" s="281"/>
      <c r="C31" s="281"/>
      <c r="D31" s="281"/>
      <c r="E31" s="281"/>
      <c r="F31" s="281"/>
      <c r="G31" s="189"/>
      <c r="H31" s="282"/>
      <c r="I31" s="282"/>
      <c r="J31" s="282"/>
      <c r="K31" s="107">
        <f t="shared" si="0"/>
        <v>0</v>
      </c>
      <c r="L31" s="374"/>
    </row>
    <row r="32" spans="1:12" hidden="1" outlineLevel="2">
      <c r="A32" s="369"/>
      <c r="B32" s="281"/>
      <c r="C32" s="281"/>
      <c r="D32" s="281"/>
      <c r="E32" s="281"/>
      <c r="F32" s="281"/>
      <c r="G32" s="189"/>
      <c r="H32" s="283"/>
      <c r="I32" s="283"/>
      <c r="J32" s="283"/>
      <c r="K32" s="107">
        <f t="shared" si="0"/>
        <v>0</v>
      </c>
      <c r="L32" s="374"/>
    </row>
    <row r="33" spans="1:12" hidden="1" outlineLevel="2">
      <c r="A33" s="369"/>
      <c r="B33" s="281"/>
      <c r="C33" s="281"/>
      <c r="D33" s="281"/>
      <c r="E33" s="281"/>
      <c r="F33" s="281"/>
      <c r="G33" s="189"/>
      <c r="H33" s="282"/>
      <c r="I33" s="282"/>
      <c r="J33" s="282"/>
      <c r="K33" s="107">
        <f t="shared" si="0"/>
        <v>0</v>
      </c>
      <c r="L33" s="374"/>
    </row>
    <row r="34" spans="1:12" hidden="1" outlineLevel="2">
      <c r="A34" s="369"/>
      <c r="B34" s="281"/>
      <c r="C34" s="281"/>
      <c r="D34" s="281"/>
      <c r="E34" s="281"/>
      <c r="F34" s="281"/>
      <c r="G34" s="189"/>
      <c r="H34" s="283"/>
      <c r="I34" s="283"/>
      <c r="J34" s="283"/>
      <c r="K34" s="107">
        <f t="shared" si="0"/>
        <v>0</v>
      </c>
      <c r="L34" s="374"/>
    </row>
    <row r="35" spans="1:12" hidden="1" outlineLevel="2">
      <c r="A35" s="369"/>
      <c r="B35" s="376" t="s">
        <v>425</v>
      </c>
      <c r="C35" s="376"/>
      <c r="D35" s="376"/>
      <c r="E35" s="377"/>
      <c r="F35" s="377"/>
      <c r="G35" s="377"/>
      <c r="H35" s="377"/>
      <c r="I35" s="377"/>
      <c r="J35" s="377"/>
      <c r="K35" s="377"/>
      <c r="L35" s="375"/>
    </row>
    <row r="36" spans="1:12" hidden="1" outlineLevel="1" collapsed="1">
      <c r="A36" s="371"/>
      <c r="B36" s="284" t="s">
        <v>426</v>
      </c>
      <c r="C36" s="284"/>
      <c r="D36" s="284"/>
      <c r="E36" s="284"/>
      <c r="F36" s="284"/>
      <c r="G36" s="284"/>
      <c r="H36" s="284"/>
      <c r="I36" s="284"/>
      <c r="J36" s="284"/>
      <c r="K36" s="284"/>
      <c r="L36" s="108">
        <f>SUM(K29:K34)</f>
        <v>0</v>
      </c>
    </row>
    <row r="37" spans="1:12" hidden="1" outlineLevel="1">
      <c r="A37" s="195"/>
      <c r="B37" s="284" t="s">
        <v>427</v>
      </c>
      <c r="C37" s="284"/>
      <c r="D37" s="284"/>
      <c r="E37" s="284"/>
      <c r="F37" s="284"/>
      <c r="G37" s="284"/>
      <c r="H37" s="284"/>
      <c r="I37" s="284"/>
      <c r="J37" s="284"/>
      <c r="K37" s="284"/>
      <c r="L37" s="108">
        <f>L27+L36</f>
        <v>0</v>
      </c>
    </row>
    <row r="38" spans="1:12" hidden="1" outlineLevel="1" collapsed="1">
      <c r="A38" s="295" t="s">
        <v>127</v>
      </c>
      <c r="B38" s="295"/>
      <c r="C38" s="295"/>
      <c r="D38" s="295"/>
      <c r="E38" s="295"/>
      <c r="F38" s="295"/>
      <c r="G38" s="295"/>
      <c r="H38" s="295"/>
      <c r="I38" s="295"/>
      <c r="J38" s="295"/>
      <c r="K38" s="295"/>
      <c r="L38" s="295"/>
    </row>
    <row r="39" spans="1:12" hidden="1" outlineLevel="2">
      <c r="A39" s="380" t="s">
        <v>103</v>
      </c>
      <c r="B39" s="284" t="s">
        <v>428</v>
      </c>
      <c r="C39" s="284"/>
      <c r="D39" s="284"/>
      <c r="E39" s="284"/>
      <c r="F39" s="284"/>
      <c r="G39" s="284"/>
      <c r="H39" s="284"/>
      <c r="I39" s="284"/>
      <c r="J39" s="284"/>
      <c r="K39" s="284"/>
      <c r="L39" s="108">
        <f>'CO3'!L47</f>
        <v>0</v>
      </c>
    </row>
    <row r="40" spans="1:12" ht="38.25" hidden="1" customHeight="1" outlineLevel="2">
      <c r="A40" s="382"/>
      <c r="B40" s="296" t="s">
        <v>470</v>
      </c>
      <c r="C40" s="296"/>
      <c r="D40" s="296"/>
      <c r="E40" s="296" t="s">
        <v>412</v>
      </c>
      <c r="F40" s="296"/>
      <c r="G40" s="191" t="s">
        <v>413</v>
      </c>
      <c r="H40" s="296" t="s">
        <v>414</v>
      </c>
      <c r="I40" s="296"/>
      <c r="J40" s="296"/>
      <c r="K40" s="191" t="s">
        <v>415</v>
      </c>
      <c r="L40" s="84" t="s">
        <v>109</v>
      </c>
    </row>
    <row r="41" spans="1:12" hidden="1" outlineLevel="2">
      <c r="A41" s="382"/>
      <c r="B41" s="297"/>
      <c r="C41" s="297"/>
      <c r="D41" s="297"/>
      <c r="E41" s="297"/>
      <c r="F41" s="297"/>
      <c r="G41" s="189"/>
      <c r="H41" s="378"/>
      <c r="I41" s="378"/>
      <c r="J41" s="378"/>
      <c r="K41" s="107">
        <f>E41-B41</f>
        <v>0</v>
      </c>
      <c r="L41" s="379"/>
    </row>
    <row r="42" spans="1:12" hidden="1" outlineLevel="2">
      <c r="A42" s="382"/>
      <c r="B42" s="297"/>
      <c r="C42" s="297"/>
      <c r="D42" s="297"/>
      <c r="E42" s="297"/>
      <c r="F42" s="297"/>
      <c r="G42" s="189"/>
      <c r="H42" s="378"/>
      <c r="I42" s="378"/>
      <c r="J42" s="378"/>
      <c r="K42" s="107">
        <f>E42-B42</f>
        <v>0</v>
      </c>
      <c r="L42" s="379"/>
    </row>
    <row r="43" spans="1:12" hidden="1" outlineLevel="2">
      <c r="A43" s="382"/>
      <c r="B43" s="297"/>
      <c r="C43" s="297"/>
      <c r="D43" s="297"/>
      <c r="E43" s="297"/>
      <c r="F43" s="297"/>
      <c r="G43" s="189"/>
      <c r="H43" s="283"/>
      <c r="I43" s="283"/>
      <c r="J43" s="283"/>
      <c r="K43" s="107">
        <f>E43-B43</f>
        <v>0</v>
      </c>
      <c r="L43" s="379"/>
    </row>
    <row r="44" spans="1:12" hidden="1" outlineLevel="2">
      <c r="A44" s="382"/>
      <c r="B44" s="297"/>
      <c r="C44" s="297"/>
      <c r="D44" s="297"/>
      <c r="E44" s="297"/>
      <c r="F44" s="297"/>
      <c r="G44" s="189"/>
      <c r="H44" s="283"/>
      <c r="I44" s="283"/>
      <c r="J44" s="283"/>
      <c r="K44" s="107">
        <f>E44-B44</f>
        <v>0</v>
      </c>
      <c r="L44" s="379"/>
    </row>
    <row r="45" spans="1:12" hidden="1" outlineLevel="2">
      <c r="A45" s="382"/>
      <c r="B45" s="376" t="s">
        <v>425</v>
      </c>
      <c r="C45" s="376"/>
      <c r="D45" s="376"/>
      <c r="E45" s="377"/>
      <c r="F45" s="377"/>
      <c r="G45" s="377"/>
      <c r="H45" s="377"/>
      <c r="I45" s="377"/>
      <c r="J45" s="377"/>
      <c r="K45" s="377"/>
      <c r="L45" s="379"/>
    </row>
    <row r="46" spans="1:12" hidden="1" outlineLevel="1" collapsed="1">
      <c r="A46" s="384"/>
      <c r="B46" s="284" t="s">
        <v>429</v>
      </c>
      <c r="C46" s="284"/>
      <c r="D46" s="284"/>
      <c r="E46" s="284"/>
      <c r="F46" s="284"/>
      <c r="G46" s="284"/>
      <c r="H46" s="284"/>
      <c r="I46" s="284"/>
      <c r="J46" s="284"/>
      <c r="K46" s="284"/>
      <c r="L46" s="108">
        <f>SUM(K41:K44)</f>
        <v>0</v>
      </c>
    </row>
    <row r="47" spans="1:12" hidden="1" outlineLevel="1">
      <c r="A47" s="198"/>
      <c r="B47" s="284" t="s">
        <v>430</v>
      </c>
      <c r="C47" s="284"/>
      <c r="D47" s="284"/>
      <c r="E47" s="284"/>
      <c r="F47" s="284"/>
      <c r="G47" s="284"/>
      <c r="H47" s="284"/>
      <c r="I47" s="284"/>
      <c r="J47" s="284"/>
      <c r="K47" s="284"/>
      <c r="L47" s="108">
        <f>L39+L46</f>
        <v>0</v>
      </c>
    </row>
    <row r="48" spans="1:12" hidden="1" outlineLevel="1" collapsed="1">
      <c r="A48" s="295" t="s">
        <v>134</v>
      </c>
      <c r="B48" s="295"/>
      <c r="C48" s="295"/>
      <c r="D48" s="295"/>
      <c r="E48" s="295"/>
      <c r="F48" s="295"/>
      <c r="G48" s="295"/>
      <c r="H48" s="295"/>
      <c r="I48" s="295"/>
      <c r="J48" s="295"/>
      <c r="K48" s="295"/>
      <c r="L48" s="295"/>
    </row>
    <row r="49" spans="1:12" hidden="1" outlineLevel="2">
      <c r="A49" s="367" t="s">
        <v>135</v>
      </c>
      <c r="B49" s="284" t="s">
        <v>431</v>
      </c>
      <c r="C49" s="284"/>
      <c r="D49" s="284"/>
      <c r="E49" s="284"/>
      <c r="F49" s="284"/>
      <c r="G49" s="284"/>
      <c r="H49" s="284"/>
      <c r="I49" s="284"/>
      <c r="J49" s="284"/>
      <c r="K49" s="284"/>
      <c r="L49" s="108">
        <f>'CO3'!L57</f>
        <v>0</v>
      </c>
    </row>
    <row r="50" spans="1:12" ht="38.25" hidden="1" customHeight="1" outlineLevel="2">
      <c r="A50" s="369"/>
      <c r="B50" s="296" t="s">
        <v>470</v>
      </c>
      <c r="C50" s="296"/>
      <c r="D50" s="296"/>
      <c r="E50" s="296" t="s">
        <v>412</v>
      </c>
      <c r="F50" s="296"/>
      <c r="G50" s="191" t="s">
        <v>424</v>
      </c>
      <c r="H50" s="296" t="s">
        <v>414</v>
      </c>
      <c r="I50" s="296"/>
      <c r="J50" s="296"/>
      <c r="K50" s="191" t="s">
        <v>415</v>
      </c>
      <c r="L50" s="84" t="s">
        <v>109</v>
      </c>
    </row>
    <row r="51" spans="1:12" hidden="1" outlineLevel="2">
      <c r="A51" s="369"/>
      <c r="B51" s="297"/>
      <c r="C51" s="297"/>
      <c r="D51" s="297"/>
      <c r="E51" s="297"/>
      <c r="F51" s="297"/>
      <c r="G51" s="112"/>
      <c r="H51" s="387"/>
      <c r="I51" s="387"/>
      <c r="J51" s="387"/>
      <c r="K51" s="107">
        <f>E51-B51</f>
        <v>0</v>
      </c>
      <c r="L51" s="388"/>
    </row>
    <row r="52" spans="1:12" hidden="1" outlineLevel="2">
      <c r="A52" s="369"/>
      <c r="B52" s="297"/>
      <c r="C52" s="297"/>
      <c r="D52" s="297"/>
      <c r="E52" s="297"/>
      <c r="F52" s="297"/>
      <c r="G52" s="112"/>
      <c r="H52" s="389"/>
      <c r="I52" s="389"/>
      <c r="J52" s="389"/>
      <c r="K52" s="107">
        <f>E52-B52</f>
        <v>0</v>
      </c>
      <c r="L52" s="388"/>
    </row>
    <row r="53" spans="1:12" hidden="1" outlineLevel="2">
      <c r="A53" s="369"/>
      <c r="B53" s="297"/>
      <c r="C53" s="297"/>
      <c r="D53" s="297"/>
      <c r="E53" s="297"/>
      <c r="F53" s="297"/>
      <c r="G53" s="33"/>
      <c r="H53" s="387"/>
      <c r="I53" s="387"/>
      <c r="J53" s="387"/>
      <c r="K53" s="107">
        <f>E53-B53</f>
        <v>0</v>
      </c>
      <c r="L53" s="388"/>
    </row>
    <row r="54" spans="1:12" hidden="1" outlineLevel="2">
      <c r="A54" s="369"/>
      <c r="B54" s="297"/>
      <c r="C54" s="297"/>
      <c r="D54" s="297"/>
      <c r="E54" s="297"/>
      <c r="F54" s="297"/>
      <c r="G54" s="33"/>
      <c r="H54" s="390"/>
      <c r="I54" s="390"/>
      <c r="J54" s="390"/>
      <c r="K54" s="107">
        <f>E54-B54</f>
        <v>0</v>
      </c>
      <c r="L54" s="388"/>
    </row>
    <row r="55" spans="1:12" hidden="1" outlineLevel="2">
      <c r="A55" s="369"/>
      <c r="B55" s="376" t="s">
        <v>425</v>
      </c>
      <c r="C55" s="376"/>
      <c r="D55" s="376"/>
      <c r="E55" s="377"/>
      <c r="F55" s="377"/>
      <c r="G55" s="377"/>
      <c r="H55" s="377"/>
      <c r="I55" s="377"/>
      <c r="J55" s="377"/>
      <c r="K55" s="377"/>
      <c r="L55" s="388"/>
    </row>
    <row r="56" spans="1:12" hidden="1" outlineLevel="1" collapsed="1">
      <c r="A56" s="371"/>
      <c r="B56" s="284" t="s">
        <v>432</v>
      </c>
      <c r="C56" s="284"/>
      <c r="D56" s="284"/>
      <c r="E56" s="284"/>
      <c r="F56" s="284"/>
      <c r="G56" s="284"/>
      <c r="H56" s="284"/>
      <c r="I56" s="284"/>
      <c r="J56" s="284"/>
      <c r="K56" s="284"/>
      <c r="L56" s="108">
        <f>SUM(K51:K54)</f>
        <v>0</v>
      </c>
    </row>
    <row r="57" spans="1:12" hidden="1" outlineLevel="1">
      <c r="A57" s="195"/>
      <c r="B57" s="284" t="s">
        <v>433</v>
      </c>
      <c r="C57" s="284"/>
      <c r="D57" s="284"/>
      <c r="E57" s="284"/>
      <c r="F57" s="284"/>
      <c r="G57" s="284"/>
      <c r="H57" s="284"/>
      <c r="I57" s="284"/>
      <c r="J57" s="284"/>
      <c r="K57" s="284"/>
      <c r="L57" s="108">
        <f>L49+L56</f>
        <v>0</v>
      </c>
    </row>
    <row r="58" spans="1:12" hidden="1" outlineLevel="1" collapsed="1">
      <c r="A58" s="295" t="s">
        <v>139</v>
      </c>
      <c r="B58" s="295"/>
      <c r="C58" s="295"/>
      <c r="D58" s="295"/>
      <c r="E58" s="295"/>
      <c r="F58" s="295"/>
      <c r="G58" s="295"/>
      <c r="H58" s="295"/>
      <c r="I58" s="295"/>
      <c r="J58" s="295"/>
      <c r="K58" s="295"/>
      <c r="L58" s="295"/>
    </row>
    <row r="59" spans="1:12" hidden="1" outlineLevel="2">
      <c r="A59" s="285" t="s">
        <v>103</v>
      </c>
      <c r="B59" s="284" t="s">
        <v>434</v>
      </c>
      <c r="C59" s="284"/>
      <c r="D59" s="284"/>
      <c r="E59" s="284"/>
      <c r="F59" s="284"/>
      <c r="G59" s="284"/>
      <c r="H59" s="284"/>
      <c r="I59" s="284"/>
      <c r="J59" s="284"/>
      <c r="K59" s="284"/>
      <c r="L59" s="108">
        <f>'CO3'!L68</f>
        <v>0</v>
      </c>
    </row>
    <row r="60" spans="1:12" ht="38.25" hidden="1" customHeight="1" outlineLevel="2">
      <c r="A60" s="287"/>
      <c r="B60" s="296" t="s">
        <v>470</v>
      </c>
      <c r="C60" s="296"/>
      <c r="D60" s="296"/>
      <c r="E60" s="296" t="s">
        <v>412</v>
      </c>
      <c r="F60" s="296"/>
      <c r="G60" s="191" t="s">
        <v>424</v>
      </c>
      <c r="H60" s="296" t="s">
        <v>414</v>
      </c>
      <c r="I60" s="296"/>
      <c r="J60" s="296"/>
      <c r="K60" s="191" t="s">
        <v>415</v>
      </c>
      <c r="L60" s="84" t="s">
        <v>109</v>
      </c>
    </row>
    <row r="61" spans="1:12" hidden="1" outlineLevel="2">
      <c r="A61" s="287"/>
      <c r="B61" s="297"/>
      <c r="C61" s="297"/>
      <c r="D61" s="297"/>
      <c r="E61" s="297"/>
      <c r="F61" s="297"/>
      <c r="G61" s="189"/>
      <c r="H61" s="294"/>
      <c r="I61" s="294"/>
      <c r="J61" s="294"/>
      <c r="K61" s="107">
        <f>E61-B61</f>
        <v>0</v>
      </c>
      <c r="L61" s="392"/>
    </row>
    <row r="62" spans="1:12" hidden="1" outlineLevel="2">
      <c r="A62" s="287"/>
      <c r="B62" s="297"/>
      <c r="C62" s="297"/>
      <c r="D62" s="297"/>
      <c r="E62" s="297"/>
      <c r="F62" s="297"/>
      <c r="G62" s="189"/>
      <c r="H62" s="391"/>
      <c r="I62" s="391"/>
      <c r="J62" s="391"/>
      <c r="K62" s="107">
        <f>E62-B62</f>
        <v>0</v>
      </c>
      <c r="L62" s="392"/>
    </row>
    <row r="63" spans="1:12" hidden="1" outlineLevel="2">
      <c r="A63" s="287"/>
      <c r="B63" s="297"/>
      <c r="C63" s="297"/>
      <c r="D63" s="297"/>
      <c r="E63" s="297"/>
      <c r="F63" s="297"/>
      <c r="G63" s="189"/>
      <c r="H63" s="391"/>
      <c r="I63" s="391"/>
      <c r="J63" s="391"/>
      <c r="K63" s="107">
        <f>E63-B63</f>
        <v>0</v>
      </c>
      <c r="L63" s="392"/>
    </row>
    <row r="64" spans="1:12" hidden="1" outlineLevel="2">
      <c r="A64" s="287"/>
      <c r="B64" s="297"/>
      <c r="C64" s="297"/>
      <c r="D64" s="297"/>
      <c r="E64" s="297"/>
      <c r="F64" s="297"/>
      <c r="G64" s="189"/>
      <c r="H64" s="391"/>
      <c r="I64" s="391"/>
      <c r="J64" s="391"/>
      <c r="K64" s="107">
        <f>E64-B64</f>
        <v>0</v>
      </c>
      <c r="L64" s="392"/>
    </row>
    <row r="65" spans="1:12" hidden="1" outlineLevel="2">
      <c r="A65" s="287"/>
      <c r="B65" s="297"/>
      <c r="C65" s="297"/>
      <c r="D65" s="297"/>
      <c r="E65" s="297"/>
      <c r="F65" s="297"/>
      <c r="G65" s="189"/>
      <c r="H65" s="294"/>
      <c r="I65" s="294"/>
      <c r="J65" s="294"/>
      <c r="K65" s="107">
        <f>E65-B65</f>
        <v>0</v>
      </c>
      <c r="L65" s="392"/>
    </row>
    <row r="66" spans="1:12" hidden="1" outlineLevel="2">
      <c r="A66" s="287"/>
      <c r="B66" s="376" t="s">
        <v>425</v>
      </c>
      <c r="C66" s="376"/>
      <c r="D66" s="376"/>
      <c r="E66" s="377"/>
      <c r="F66" s="377"/>
      <c r="G66" s="377"/>
      <c r="H66" s="377"/>
      <c r="I66" s="377"/>
      <c r="J66" s="377"/>
      <c r="K66" s="377"/>
      <c r="L66" s="392"/>
    </row>
    <row r="67" spans="1:12" hidden="1" outlineLevel="1" collapsed="1">
      <c r="A67" s="289"/>
      <c r="B67" s="284" t="s">
        <v>435</v>
      </c>
      <c r="C67" s="284"/>
      <c r="D67" s="284"/>
      <c r="E67" s="284"/>
      <c r="F67" s="284"/>
      <c r="G67" s="284"/>
      <c r="H67" s="284"/>
      <c r="I67" s="284"/>
      <c r="J67" s="284"/>
      <c r="K67" s="284"/>
      <c r="L67" s="108">
        <f>SUM(K61:K65)</f>
        <v>0</v>
      </c>
    </row>
    <row r="68" spans="1:12" hidden="1" outlineLevel="1">
      <c r="A68" s="196"/>
      <c r="B68" s="284" t="s">
        <v>436</v>
      </c>
      <c r="C68" s="284"/>
      <c r="D68" s="284"/>
      <c r="E68" s="284"/>
      <c r="F68" s="284"/>
      <c r="G68" s="284"/>
      <c r="H68" s="284"/>
      <c r="I68" s="284"/>
      <c r="J68" s="284"/>
      <c r="K68" s="284"/>
      <c r="L68" s="108">
        <f>L59+L67</f>
        <v>0</v>
      </c>
    </row>
    <row r="69" spans="1:12" hidden="1" outlineLevel="1" collapsed="1">
      <c r="A69" s="295" t="s">
        <v>152</v>
      </c>
      <c r="B69" s="295"/>
      <c r="C69" s="295"/>
      <c r="D69" s="295"/>
      <c r="E69" s="295"/>
      <c r="F69" s="295"/>
      <c r="G69" s="295"/>
      <c r="H69" s="295"/>
      <c r="I69" s="295"/>
      <c r="J69" s="295"/>
      <c r="K69" s="295"/>
      <c r="L69" s="295"/>
    </row>
    <row r="70" spans="1:12" hidden="1" outlineLevel="2">
      <c r="A70" s="285" t="s">
        <v>103</v>
      </c>
      <c r="B70" s="284" t="s">
        <v>437</v>
      </c>
      <c r="C70" s="284"/>
      <c r="D70" s="284"/>
      <c r="E70" s="284"/>
      <c r="F70" s="284"/>
      <c r="G70" s="284"/>
      <c r="H70" s="284"/>
      <c r="I70" s="284"/>
      <c r="J70" s="284"/>
      <c r="K70" s="284"/>
      <c r="L70" s="108">
        <f>'CO3'!L76</f>
        <v>0</v>
      </c>
    </row>
    <row r="71" spans="1:12" ht="38.25" hidden="1" customHeight="1" outlineLevel="2">
      <c r="A71" s="287"/>
      <c r="B71" s="296" t="s">
        <v>470</v>
      </c>
      <c r="C71" s="296"/>
      <c r="D71" s="296"/>
      <c r="E71" s="296" t="s">
        <v>412</v>
      </c>
      <c r="F71" s="296"/>
      <c r="G71" s="191" t="s">
        <v>424</v>
      </c>
      <c r="H71" s="296" t="s">
        <v>414</v>
      </c>
      <c r="I71" s="296"/>
      <c r="J71" s="296"/>
      <c r="K71" s="191" t="s">
        <v>415</v>
      </c>
      <c r="L71" s="191" t="s">
        <v>109</v>
      </c>
    </row>
    <row r="72" spans="1:12" hidden="1" outlineLevel="2">
      <c r="A72" s="287"/>
      <c r="B72" s="297"/>
      <c r="C72" s="297"/>
      <c r="D72" s="297"/>
      <c r="E72" s="297"/>
      <c r="F72" s="297"/>
      <c r="G72" s="189"/>
      <c r="H72" s="294"/>
      <c r="I72" s="294"/>
      <c r="J72" s="294"/>
      <c r="K72" s="107">
        <f>E72-B72</f>
        <v>0</v>
      </c>
      <c r="L72" s="298"/>
    </row>
    <row r="73" spans="1:12" hidden="1" outlineLevel="2">
      <c r="A73" s="287"/>
      <c r="B73" s="297"/>
      <c r="C73" s="297"/>
      <c r="D73" s="297"/>
      <c r="E73" s="297"/>
      <c r="F73" s="297"/>
      <c r="G73" s="189"/>
      <c r="H73" s="294"/>
      <c r="I73" s="294"/>
      <c r="J73" s="294"/>
      <c r="K73" s="107">
        <f>E73-B73</f>
        <v>0</v>
      </c>
      <c r="L73" s="298"/>
    </row>
    <row r="74" spans="1:12" hidden="1" outlineLevel="2">
      <c r="A74" s="287"/>
      <c r="B74" s="297"/>
      <c r="C74" s="297"/>
      <c r="D74" s="297"/>
      <c r="E74" s="297"/>
      <c r="F74" s="297"/>
      <c r="G74" s="189"/>
      <c r="H74" s="294"/>
      <c r="I74" s="294"/>
      <c r="J74" s="294"/>
      <c r="K74" s="107">
        <f>E74-B74</f>
        <v>0</v>
      </c>
      <c r="L74" s="298"/>
    </row>
    <row r="75" spans="1:12" hidden="1" outlineLevel="1" collapsed="1">
      <c r="A75" s="289"/>
      <c r="B75" s="284" t="s">
        <v>438</v>
      </c>
      <c r="C75" s="284"/>
      <c r="D75" s="284"/>
      <c r="E75" s="284"/>
      <c r="F75" s="284"/>
      <c r="G75" s="284"/>
      <c r="H75" s="284"/>
      <c r="I75" s="284"/>
      <c r="J75" s="284"/>
      <c r="K75" s="284"/>
      <c r="L75" s="108">
        <f>SUM(K72:K74)</f>
        <v>0</v>
      </c>
    </row>
    <row r="76" spans="1:12" hidden="1" outlineLevel="1">
      <c r="A76" s="196"/>
      <c r="B76" s="284" t="s">
        <v>439</v>
      </c>
      <c r="C76" s="284"/>
      <c r="D76" s="284"/>
      <c r="E76" s="284"/>
      <c r="F76" s="284"/>
      <c r="G76" s="284"/>
      <c r="H76" s="284"/>
      <c r="I76" s="284"/>
      <c r="J76" s="284"/>
      <c r="K76" s="284"/>
      <c r="L76" s="108">
        <f>L70+L75</f>
        <v>0</v>
      </c>
    </row>
    <row r="77" spans="1:12" hidden="1" outlineLevel="1" collapsed="1">
      <c r="A77" s="295" t="s">
        <v>440</v>
      </c>
      <c r="B77" s="295"/>
      <c r="C77" s="295"/>
      <c r="D77" s="295"/>
      <c r="E77" s="295"/>
      <c r="F77" s="295"/>
      <c r="G77" s="295"/>
      <c r="H77" s="295"/>
      <c r="I77" s="295"/>
      <c r="J77" s="295"/>
      <c r="K77" s="295"/>
      <c r="L77" s="295"/>
    </row>
    <row r="78" spans="1:12" hidden="1" outlineLevel="2">
      <c r="A78" s="285" t="s">
        <v>103</v>
      </c>
      <c r="B78" s="284" t="s">
        <v>441</v>
      </c>
      <c r="C78" s="284"/>
      <c r="D78" s="284"/>
      <c r="E78" s="284"/>
      <c r="F78" s="284"/>
      <c r="G78" s="284"/>
      <c r="H78" s="284"/>
      <c r="I78" s="284"/>
      <c r="J78" s="284"/>
      <c r="K78" s="284"/>
      <c r="L78" s="108">
        <f>'CO3'!L84</f>
        <v>0</v>
      </c>
    </row>
    <row r="79" spans="1:12" ht="38.25" hidden="1" customHeight="1" outlineLevel="2">
      <c r="A79" s="287"/>
      <c r="B79" s="296" t="s">
        <v>470</v>
      </c>
      <c r="C79" s="296"/>
      <c r="D79" s="296"/>
      <c r="E79" s="296" t="s">
        <v>412</v>
      </c>
      <c r="F79" s="296"/>
      <c r="G79" s="191" t="s">
        <v>424</v>
      </c>
      <c r="H79" s="296" t="s">
        <v>414</v>
      </c>
      <c r="I79" s="296"/>
      <c r="J79" s="296"/>
      <c r="K79" s="191" t="s">
        <v>415</v>
      </c>
      <c r="L79" s="191" t="s">
        <v>109</v>
      </c>
    </row>
    <row r="80" spans="1:12" hidden="1" outlineLevel="2">
      <c r="A80" s="287"/>
      <c r="B80" s="356"/>
      <c r="C80" s="356"/>
      <c r="D80" s="356"/>
      <c r="E80" s="356"/>
      <c r="F80" s="356"/>
      <c r="G80" s="189"/>
      <c r="H80" s="391"/>
      <c r="I80" s="391"/>
      <c r="J80" s="391"/>
      <c r="K80" s="107">
        <f>E80-B80</f>
        <v>0</v>
      </c>
      <c r="L80" s="298"/>
    </row>
    <row r="81" spans="1:12" hidden="1" outlineLevel="2">
      <c r="A81" s="287"/>
      <c r="B81" s="356"/>
      <c r="C81" s="356"/>
      <c r="D81" s="356"/>
      <c r="E81" s="356"/>
      <c r="F81" s="356"/>
      <c r="G81" s="189"/>
      <c r="H81" s="391"/>
      <c r="I81" s="391"/>
      <c r="J81" s="391"/>
      <c r="K81" s="107">
        <f>E81-B81</f>
        <v>0</v>
      </c>
      <c r="L81" s="298"/>
    </row>
    <row r="82" spans="1:12" hidden="1" outlineLevel="2">
      <c r="A82" s="287"/>
      <c r="B82" s="356"/>
      <c r="C82" s="356"/>
      <c r="D82" s="356"/>
      <c r="E82" s="356"/>
      <c r="F82" s="356"/>
      <c r="G82" s="189"/>
      <c r="H82" s="294"/>
      <c r="I82" s="294"/>
      <c r="J82" s="294"/>
      <c r="K82" s="107">
        <f>E82-B82</f>
        <v>0</v>
      </c>
      <c r="L82" s="298"/>
    </row>
    <row r="83" spans="1:12" hidden="1" outlineLevel="1" collapsed="1">
      <c r="A83" s="289"/>
      <c r="B83" s="284" t="s">
        <v>442</v>
      </c>
      <c r="C83" s="284"/>
      <c r="D83" s="284"/>
      <c r="E83" s="284"/>
      <c r="F83" s="284"/>
      <c r="G83" s="284"/>
      <c r="H83" s="284"/>
      <c r="I83" s="284"/>
      <c r="J83" s="284"/>
      <c r="K83" s="284"/>
      <c r="L83" s="108">
        <f>SUM(K80:K82)</f>
        <v>0</v>
      </c>
    </row>
    <row r="84" spans="1:12" hidden="1" outlineLevel="1">
      <c r="A84" s="194"/>
      <c r="B84" s="284" t="s">
        <v>443</v>
      </c>
      <c r="C84" s="284"/>
      <c r="D84" s="284"/>
      <c r="E84" s="284"/>
      <c r="F84" s="284"/>
      <c r="G84" s="284"/>
      <c r="H84" s="284"/>
      <c r="I84" s="284"/>
      <c r="J84" s="284"/>
      <c r="K84" s="284"/>
      <c r="L84" s="108">
        <f>L78+L83</f>
        <v>0</v>
      </c>
    </row>
    <row r="85" spans="1:12" hidden="1" outlineLevel="1" collapsed="1">
      <c r="A85" s="295" t="s">
        <v>444</v>
      </c>
      <c r="B85" s="295"/>
      <c r="C85" s="295"/>
      <c r="D85" s="295"/>
      <c r="E85" s="295"/>
      <c r="F85" s="295"/>
      <c r="G85" s="295"/>
      <c r="H85" s="295"/>
      <c r="I85" s="295"/>
      <c r="J85" s="295"/>
      <c r="K85" s="295"/>
      <c r="L85" s="295"/>
    </row>
    <row r="86" spans="1:12" hidden="1" outlineLevel="2">
      <c r="A86" s="285" t="s">
        <v>103</v>
      </c>
      <c r="B86" s="284" t="s">
        <v>445</v>
      </c>
      <c r="C86" s="284"/>
      <c r="D86" s="284"/>
      <c r="E86" s="284"/>
      <c r="F86" s="284"/>
      <c r="G86" s="284"/>
      <c r="H86" s="284"/>
      <c r="I86" s="284"/>
      <c r="J86" s="284"/>
      <c r="K86" s="284"/>
      <c r="L86" s="108">
        <f>'CO3'!L92</f>
        <v>0</v>
      </c>
    </row>
    <row r="87" spans="1:12" ht="38.25" hidden="1" customHeight="1" outlineLevel="2">
      <c r="A87" s="287"/>
      <c r="B87" s="296" t="s">
        <v>470</v>
      </c>
      <c r="C87" s="296"/>
      <c r="D87" s="296"/>
      <c r="E87" s="296" t="s">
        <v>412</v>
      </c>
      <c r="F87" s="296"/>
      <c r="G87" s="191" t="s">
        <v>413</v>
      </c>
      <c r="H87" s="296" t="s">
        <v>414</v>
      </c>
      <c r="I87" s="296"/>
      <c r="J87" s="296"/>
      <c r="K87" s="191" t="s">
        <v>415</v>
      </c>
      <c r="L87" s="191" t="s">
        <v>109</v>
      </c>
    </row>
    <row r="88" spans="1:12" hidden="1" outlineLevel="2">
      <c r="A88" s="287"/>
      <c r="B88" s="297"/>
      <c r="C88" s="297"/>
      <c r="D88" s="297"/>
      <c r="E88" s="297"/>
      <c r="F88" s="297"/>
      <c r="G88" s="189"/>
      <c r="H88" s="294"/>
      <c r="I88" s="294"/>
      <c r="J88" s="294"/>
      <c r="K88" s="107">
        <f>E88-B88</f>
        <v>0</v>
      </c>
      <c r="L88" s="298"/>
    </row>
    <row r="89" spans="1:12" hidden="1" outlineLevel="2">
      <c r="A89" s="287"/>
      <c r="B89" s="297"/>
      <c r="C89" s="297"/>
      <c r="D89" s="297"/>
      <c r="E89" s="297"/>
      <c r="F89" s="297"/>
      <c r="G89" s="189"/>
      <c r="H89" s="391"/>
      <c r="I89" s="391"/>
      <c r="J89" s="391"/>
      <c r="K89" s="107">
        <f>E89-B89</f>
        <v>0</v>
      </c>
      <c r="L89" s="298"/>
    </row>
    <row r="90" spans="1:12" hidden="1" outlineLevel="2">
      <c r="A90" s="287"/>
      <c r="B90" s="393"/>
      <c r="C90" s="393"/>
      <c r="D90" s="393"/>
      <c r="E90" s="393"/>
      <c r="F90" s="393"/>
      <c r="G90" s="189"/>
      <c r="H90" s="294"/>
      <c r="I90" s="294"/>
      <c r="J90" s="294"/>
      <c r="K90" s="107">
        <f>E90-B90</f>
        <v>0</v>
      </c>
      <c r="L90" s="298"/>
    </row>
    <row r="91" spans="1:12" hidden="1" outlineLevel="1" collapsed="1">
      <c r="A91" s="289"/>
      <c r="B91" s="284" t="s">
        <v>446</v>
      </c>
      <c r="C91" s="284"/>
      <c r="D91" s="284"/>
      <c r="E91" s="284"/>
      <c r="F91" s="284"/>
      <c r="G91" s="284"/>
      <c r="H91" s="284"/>
      <c r="I91" s="284"/>
      <c r="J91" s="284"/>
      <c r="K91" s="284"/>
      <c r="L91" s="108">
        <f>SUM(K88:K90)</f>
        <v>0</v>
      </c>
    </row>
    <row r="92" spans="1:12" hidden="1" outlineLevel="1">
      <c r="A92" s="193"/>
      <c r="B92" s="284" t="s">
        <v>447</v>
      </c>
      <c r="C92" s="284"/>
      <c r="D92" s="284"/>
      <c r="E92" s="284"/>
      <c r="F92" s="284"/>
      <c r="G92" s="284"/>
      <c r="H92" s="284"/>
      <c r="I92" s="284"/>
      <c r="J92" s="284"/>
      <c r="K92" s="284"/>
      <c r="L92" s="108">
        <f>L86+L91</f>
        <v>0</v>
      </c>
    </row>
    <row r="93" spans="1:12" hidden="1" outlineLevel="1" collapsed="1">
      <c r="A93" s="295" t="s">
        <v>167</v>
      </c>
      <c r="B93" s="295"/>
      <c r="C93" s="295"/>
      <c r="D93" s="295"/>
      <c r="E93" s="295"/>
      <c r="F93" s="295"/>
      <c r="G93" s="295"/>
      <c r="H93" s="295"/>
      <c r="I93" s="295"/>
      <c r="J93" s="295"/>
      <c r="K93" s="295"/>
      <c r="L93" s="295"/>
    </row>
    <row r="94" spans="1:12" hidden="1" outlineLevel="2">
      <c r="A94" s="285" t="s">
        <v>103</v>
      </c>
      <c r="B94" s="284" t="s">
        <v>448</v>
      </c>
      <c r="C94" s="284"/>
      <c r="D94" s="284"/>
      <c r="E94" s="284"/>
      <c r="F94" s="284"/>
      <c r="G94" s="284"/>
      <c r="H94" s="284"/>
      <c r="I94" s="284"/>
      <c r="J94" s="284"/>
      <c r="K94" s="284"/>
      <c r="L94" s="110">
        <f>'CO3'!L101</f>
        <v>0</v>
      </c>
    </row>
    <row r="95" spans="1:12" ht="38.25" hidden="1" customHeight="1" outlineLevel="2">
      <c r="A95" s="287"/>
      <c r="B95" s="296" t="s">
        <v>470</v>
      </c>
      <c r="C95" s="296"/>
      <c r="D95" s="296"/>
      <c r="E95" s="296" t="s">
        <v>412</v>
      </c>
      <c r="F95" s="296"/>
      <c r="G95" s="191" t="s">
        <v>424</v>
      </c>
      <c r="H95" s="296" t="s">
        <v>414</v>
      </c>
      <c r="I95" s="296"/>
      <c r="J95" s="296"/>
      <c r="K95" s="191" t="s">
        <v>415</v>
      </c>
      <c r="L95" s="191" t="s">
        <v>109</v>
      </c>
    </row>
    <row r="96" spans="1:12" hidden="1" outlineLevel="2">
      <c r="A96" s="287"/>
      <c r="B96" s="297"/>
      <c r="C96" s="297"/>
      <c r="D96" s="297"/>
      <c r="E96" s="297"/>
      <c r="F96" s="297"/>
      <c r="G96" s="189"/>
      <c r="H96" s="294"/>
      <c r="I96" s="294"/>
      <c r="J96" s="294"/>
      <c r="K96" s="107">
        <f>E96-B96</f>
        <v>0</v>
      </c>
      <c r="L96" s="394"/>
    </row>
    <row r="97" spans="1:12" hidden="1" outlineLevel="2">
      <c r="A97" s="287"/>
      <c r="B97" s="297"/>
      <c r="C97" s="297"/>
      <c r="D97" s="297"/>
      <c r="E97" s="297"/>
      <c r="F97" s="297"/>
      <c r="G97" s="189"/>
      <c r="H97" s="391"/>
      <c r="I97" s="391"/>
      <c r="J97" s="391"/>
      <c r="K97" s="107">
        <f>E97-B97</f>
        <v>0</v>
      </c>
      <c r="L97" s="394"/>
    </row>
    <row r="98" spans="1:12" hidden="1" outlineLevel="2">
      <c r="A98" s="287"/>
      <c r="B98" s="297"/>
      <c r="C98" s="297"/>
      <c r="D98" s="297"/>
      <c r="E98" s="297"/>
      <c r="F98" s="297"/>
      <c r="G98" s="189"/>
      <c r="H98" s="294"/>
      <c r="I98" s="294"/>
      <c r="J98" s="294"/>
      <c r="K98" s="107">
        <f>E98-B98</f>
        <v>0</v>
      </c>
      <c r="L98" s="394"/>
    </row>
    <row r="99" spans="1:12" hidden="1" outlineLevel="2">
      <c r="A99" s="287"/>
      <c r="B99" s="376" t="s">
        <v>425</v>
      </c>
      <c r="C99" s="376"/>
      <c r="D99" s="376"/>
      <c r="E99" s="428"/>
      <c r="F99" s="428"/>
      <c r="G99" s="428"/>
      <c r="H99" s="428"/>
      <c r="I99" s="428"/>
      <c r="J99" s="428"/>
      <c r="K99" s="428"/>
      <c r="L99" s="394"/>
    </row>
    <row r="100" spans="1:12" hidden="1" outlineLevel="1" collapsed="1">
      <c r="A100" s="289"/>
      <c r="B100" s="284" t="s">
        <v>449</v>
      </c>
      <c r="C100" s="284"/>
      <c r="D100" s="284"/>
      <c r="E100" s="284"/>
      <c r="F100" s="284"/>
      <c r="G100" s="284"/>
      <c r="H100" s="284"/>
      <c r="I100" s="284"/>
      <c r="J100" s="284"/>
      <c r="K100" s="284"/>
      <c r="L100" s="110">
        <f>SUM(K96:K98)</f>
        <v>0</v>
      </c>
    </row>
    <row r="101" spans="1:12" hidden="1" outlineLevel="1">
      <c r="A101" s="194"/>
      <c r="B101" s="284" t="s">
        <v>450</v>
      </c>
      <c r="C101" s="284"/>
      <c r="D101" s="284"/>
      <c r="E101" s="284"/>
      <c r="F101" s="284"/>
      <c r="G101" s="284"/>
      <c r="H101" s="284"/>
      <c r="I101" s="284"/>
      <c r="J101" s="284"/>
      <c r="K101" s="284"/>
      <c r="L101" s="110">
        <f>L94+L100</f>
        <v>0</v>
      </c>
    </row>
    <row r="102" spans="1:12" hidden="1" outlineLevel="1" collapsed="1">
      <c r="A102" s="295" t="s">
        <v>451</v>
      </c>
      <c r="B102" s="295"/>
      <c r="C102" s="295"/>
      <c r="D102" s="295"/>
      <c r="E102" s="295"/>
      <c r="F102" s="295"/>
      <c r="G102" s="295"/>
      <c r="H102" s="295"/>
      <c r="I102" s="295"/>
      <c r="J102" s="295"/>
      <c r="K102" s="295"/>
      <c r="L102" s="295"/>
    </row>
    <row r="103" spans="1:12" hidden="1" outlineLevel="2">
      <c r="A103" s="285" t="s">
        <v>103</v>
      </c>
      <c r="B103" s="284" t="s">
        <v>452</v>
      </c>
      <c r="C103" s="284"/>
      <c r="D103" s="284"/>
      <c r="E103" s="284"/>
      <c r="F103" s="284"/>
      <c r="G103" s="284"/>
      <c r="H103" s="284"/>
      <c r="I103" s="284"/>
      <c r="J103" s="284"/>
      <c r="K103" s="284"/>
      <c r="L103" s="110">
        <f>'CO3'!L110</f>
        <v>0</v>
      </c>
    </row>
    <row r="104" spans="1:12" ht="38.25" hidden="1" customHeight="1" outlineLevel="2">
      <c r="A104" s="287"/>
      <c r="B104" s="296" t="s">
        <v>470</v>
      </c>
      <c r="C104" s="296"/>
      <c r="D104" s="296"/>
      <c r="E104" s="296" t="s">
        <v>412</v>
      </c>
      <c r="F104" s="296"/>
      <c r="G104" s="191" t="s">
        <v>413</v>
      </c>
      <c r="H104" s="296" t="s">
        <v>414</v>
      </c>
      <c r="I104" s="296"/>
      <c r="J104" s="296"/>
      <c r="K104" s="191" t="s">
        <v>415</v>
      </c>
      <c r="L104" s="191" t="s">
        <v>109</v>
      </c>
    </row>
    <row r="105" spans="1:12" ht="12.75" hidden="1" customHeight="1" outlineLevel="2">
      <c r="A105" s="287"/>
      <c r="B105" s="425"/>
      <c r="C105" s="426"/>
      <c r="D105" s="427"/>
      <c r="E105" s="297"/>
      <c r="F105" s="297"/>
      <c r="G105" s="75"/>
      <c r="H105" s="395"/>
      <c r="I105" s="395"/>
      <c r="J105" s="395"/>
      <c r="K105" s="107">
        <f>E105-B105</f>
        <v>0</v>
      </c>
      <c r="L105" s="76"/>
    </row>
    <row r="106" spans="1:12" hidden="1" outlineLevel="2">
      <c r="A106" s="287"/>
      <c r="B106" s="297"/>
      <c r="C106" s="297"/>
      <c r="D106" s="297"/>
      <c r="E106" s="297"/>
      <c r="F106" s="297"/>
      <c r="G106" s="75"/>
      <c r="H106" s="395"/>
      <c r="I106" s="395"/>
      <c r="J106" s="395"/>
      <c r="K106" s="107">
        <f>E106-B106</f>
        <v>0</v>
      </c>
      <c r="L106" s="76"/>
    </row>
    <row r="107" spans="1:12" hidden="1" outlineLevel="2">
      <c r="A107" s="287"/>
      <c r="B107" s="297"/>
      <c r="C107" s="297"/>
      <c r="D107" s="297"/>
      <c r="E107" s="297"/>
      <c r="F107" s="297"/>
      <c r="G107" s="75"/>
      <c r="H107" s="395"/>
      <c r="I107" s="395"/>
      <c r="J107" s="395"/>
      <c r="K107" s="107">
        <f>E107-B107</f>
        <v>0</v>
      </c>
      <c r="L107" s="76"/>
    </row>
    <row r="108" spans="1:12" hidden="1" outlineLevel="2">
      <c r="A108" s="287"/>
      <c r="B108" s="297"/>
      <c r="C108" s="297"/>
      <c r="D108" s="297"/>
      <c r="E108" s="297"/>
      <c r="F108" s="297"/>
      <c r="G108" s="189"/>
      <c r="H108" s="294"/>
      <c r="I108" s="294"/>
      <c r="J108" s="294"/>
      <c r="K108" s="107">
        <f>E108-B108</f>
        <v>0</v>
      </c>
      <c r="L108" s="76"/>
    </row>
    <row r="109" spans="1:12" hidden="1" outlineLevel="1" collapsed="1">
      <c r="A109" s="289"/>
      <c r="B109" s="284" t="s">
        <v>453</v>
      </c>
      <c r="C109" s="284"/>
      <c r="D109" s="284"/>
      <c r="E109" s="284"/>
      <c r="F109" s="284"/>
      <c r="G109" s="284"/>
      <c r="H109" s="284"/>
      <c r="I109" s="284"/>
      <c r="J109" s="284"/>
      <c r="K109" s="284"/>
      <c r="L109" s="110">
        <f>SUM(K105:K108)</f>
        <v>0</v>
      </c>
    </row>
    <row r="110" spans="1:12" hidden="1" outlineLevel="1">
      <c r="A110" s="194"/>
      <c r="B110" s="284" t="s">
        <v>454</v>
      </c>
      <c r="C110" s="284"/>
      <c r="D110" s="284"/>
      <c r="E110" s="284"/>
      <c r="F110" s="284"/>
      <c r="G110" s="284"/>
      <c r="H110" s="284"/>
      <c r="I110" s="284"/>
      <c r="J110" s="284"/>
      <c r="K110" s="284"/>
      <c r="L110" s="110">
        <f>L103+L109</f>
        <v>0</v>
      </c>
    </row>
    <row r="111" spans="1:12" hidden="1" outlineLevel="1" collapsed="1">
      <c r="A111" s="361" t="s">
        <v>178</v>
      </c>
      <c r="B111" s="361"/>
      <c r="C111" s="361"/>
      <c r="D111" s="361"/>
      <c r="E111" s="361"/>
      <c r="F111" s="361"/>
      <c r="G111" s="361"/>
      <c r="H111" s="361"/>
      <c r="I111" s="361"/>
      <c r="J111" s="361"/>
      <c r="K111" s="361"/>
      <c r="L111" s="361"/>
    </row>
    <row r="112" spans="1:12" hidden="1" outlineLevel="2">
      <c r="A112" s="285" t="s">
        <v>103</v>
      </c>
      <c r="B112" s="284" t="s">
        <v>455</v>
      </c>
      <c r="C112" s="284"/>
      <c r="D112" s="284"/>
      <c r="E112" s="284"/>
      <c r="F112" s="284"/>
      <c r="G112" s="284"/>
      <c r="H112" s="284"/>
      <c r="I112" s="284"/>
      <c r="J112" s="284"/>
      <c r="K112" s="284"/>
      <c r="L112" s="108">
        <f>'CO3'!L119</f>
        <v>0</v>
      </c>
    </row>
    <row r="113" spans="1:12" ht="38.25" hidden="1" customHeight="1" outlineLevel="2">
      <c r="A113" s="287"/>
      <c r="B113" s="296" t="s">
        <v>470</v>
      </c>
      <c r="C113" s="296"/>
      <c r="D113" s="296"/>
      <c r="E113" s="296" t="s">
        <v>412</v>
      </c>
      <c r="F113" s="296"/>
      <c r="G113" s="191" t="s">
        <v>424</v>
      </c>
      <c r="H113" s="296" t="s">
        <v>414</v>
      </c>
      <c r="I113" s="296"/>
      <c r="J113" s="296"/>
      <c r="K113" s="191" t="s">
        <v>415</v>
      </c>
      <c r="L113" s="191" t="s">
        <v>109</v>
      </c>
    </row>
    <row r="114" spans="1:12" hidden="1" outlineLevel="2">
      <c r="A114" s="287"/>
      <c r="B114" s="356"/>
      <c r="C114" s="356"/>
      <c r="D114" s="356"/>
      <c r="E114" s="356"/>
      <c r="F114" s="356"/>
      <c r="G114" s="189"/>
      <c r="H114" s="378"/>
      <c r="I114" s="378"/>
      <c r="J114" s="378"/>
      <c r="K114" s="107">
        <f>E114-B114</f>
        <v>0</v>
      </c>
      <c r="L114" s="399"/>
    </row>
    <row r="115" spans="1:12" hidden="1" outlineLevel="2">
      <c r="A115" s="287"/>
      <c r="B115" s="356"/>
      <c r="C115" s="356"/>
      <c r="D115" s="356"/>
      <c r="E115" s="356"/>
      <c r="F115" s="356"/>
      <c r="G115" s="189"/>
      <c r="H115" s="283"/>
      <c r="I115" s="283"/>
      <c r="J115" s="283"/>
      <c r="K115" s="107">
        <f>E115-B115</f>
        <v>0</v>
      </c>
      <c r="L115" s="399"/>
    </row>
    <row r="116" spans="1:12" hidden="1" outlineLevel="2">
      <c r="A116" s="287"/>
      <c r="B116" s="356"/>
      <c r="C116" s="356"/>
      <c r="D116" s="356"/>
      <c r="E116" s="356"/>
      <c r="F116" s="356"/>
      <c r="G116" s="189"/>
      <c r="H116" s="401"/>
      <c r="I116" s="401"/>
      <c r="J116" s="401"/>
      <c r="K116" s="107">
        <f>E116-B116</f>
        <v>0</v>
      </c>
      <c r="L116" s="399"/>
    </row>
    <row r="117" spans="1:12" hidden="1" outlineLevel="2">
      <c r="A117" s="287"/>
      <c r="B117" s="356"/>
      <c r="C117" s="356"/>
      <c r="D117" s="356"/>
      <c r="E117" s="356"/>
      <c r="F117" s="356"/>
      <c r="G117" s="189"/>
      <c r="H117" s="400"/>
      <c r="I117" s="400"/>
      <c r="J117" s="400"/>
      <c r="K117" s="107">
        <f>E117-B117</f>
        <v>0</v>
      </c>
      <c r="L117" s="399"/>
    </row>
    <row r="118" spans="1:12" hidden="1" outlineLevel="1" collapsed="1">
      <c r="A118" s="289"/>
      <c r="B118" s="284" t="s">
        <v>456</v>
      </c>
      <c r="C118" s="284"/>
      <c r="D118" s="284"/>
      <c r="E118" s="284"/>
      <c r="F118" s="284"/>
      <c r="G118" s="284"/>
      <c r="H118" s="284"/>
      <c r="I118" s="284"/>
      <c r="J118" s="284"/>
      <c r="K118" s="284"/>
      <c r="L118" s="108">
        <f>SUM(K114:K117)</f>
        <v>0</v>
      </c>
    </row>
    <row r="119" spans="1:12" hidden="1" outlineLevel="1">
      <c r="A119" s="194"/>
      <c r="B119" s="284" t="s">
        <v>457</v>
      </c>
      <c r="C119" s="284"/>
      <c r="D119" s="284"/>
      <c r="E119" s="284"/>
      <c r="F119" s="284"/>
      <c r="G119" s="284"/>
      <c r="H119" s="284"/>
      <c r="I119" s="284"/>
      <c r="J119" s="284"/>
      <c r="K119" s="284"/>
      <c r="L119" s="108">
        <f>L112+L118</f>
        <v>0</v>
      </c>
    </row>
    <row r="120" spans="1:12" hidden="1" outlineLevel="1" collapsed="1">
      <c r="A120" s="361" t="s">
        <v>458</v>
      </c>
      <c r="B120" s="361"/>
      <c r="C120" s="361"/>
      <c r="D120" s="361"/>
      <c r="E120" s="361"/>
      <c r="F120" s="361"/>
      <c r="G120" s="361"/>
      <c r="H120" s="361"/>
      <c r="I120" s="361"/>
      <c r="J120" s="361"/>
      <c r="K120" s="361"/>
      <c r="L120" s="361"/>
    </row>
    <row r="121" spans="1:12" hidden="1" outlineLevel="2">
      <c r="A121" s="285" t="s">
        <v>103</v>
      </c>
      <c r="B121" s="284" t="s">
        <v>459</v>
      </c>
      <c r="C121" s="284"/>
      <c r="D121" s="284"/>
      <c r="E121" s="284"/>
      <c r="F121" s="284"/>
      <c r="G121" s="192"/>
      <c r="H121" s="298"/>
      <c r="I121" s="298"/>
      <c r="J121" s="298"/>
      <c r="K121" s="192"/>
      <c r="L121" s="108">
        <f>'CO3'!L128</f>
        <v>0</v>
      </c>
    </row>
    <row r="122" spans="1:12" ht="38.25" hidden="1" customHeight="1" outlineLevel="2">
      <c r="A122" s="287"/>
      <c r="B122" s="296" t="s">
        <v>470</v>
      </c>
      <c r="C122" s="296"/>
      <c r="D122" s="296"/>
      <c r="E122" s="296" t="s">
        <v>412</v>
      </c>
      <c r="F122" s="296"/>
      <c r="G122" s="191" t="s">
        <v>413</v>
      </c>
      <c r="H122" s="296" t="s">
        <v>414</v>
      </c>
      <c r="I122" s="296"/>
      <c r="J122" s="296"/>
      <c r="K122" s="191" t="s">
        <v>415</v>
      </c>
      <c r="L122" s="191" t="s">
        <v>109</v>
      </c>
    </row>
    <row r="123" spans="1:12" hidden="1" outlineLevel="2">
      <c r="A123" s="287"/>
      <c r="B123" s="356"/>
      <c r="C123" s="356"/>
      <c r="D123" s="356"/>
      <c r="E123" s="356"/>
      <c r="F123" s="356"/>
      <c r="G123" s="189"/>
      <c r="H123" s="378"/>
      <c r="I123" s="378"/>
      <c r="J123" s="378"/>
      <c r="K123" s="107">
        <f>E123-B123</f>
        <v>0</v>
      </c>
      <c r="L123" s="298"/>
    </row>
    <row r="124" spans="1:12" hidden="1" outlineLevel="2">
      <c r="A124" s="287"/>
      <c r="B124" s="356"/>
      <c r="C124" s="356"/>
      <c r="D124" s="356"/>
      <c r="E124" s="356"/>
      <c r="F124" s="356"/>
      <c r="G124" s="189"/>
      <c r="H124" s="378"/>
      <c r="I124" s="378"/>
      <c r="J124" s="378"/>
      <c r="K124" s="107">
        <f>E124-B124</f>
        <v>0</v>
      </c>
      <c r="L124" s="298"/>
    </row>
    <row r="125" spans="1:12" hidden="1" outlineLevel="2">
      <c r="A125" s="287"/>
      <c r="B125" s="356"/>
      <c r="C125" s="356"/>
      <c r="D125" s="356"/>
      <c r="E125" s="356"/>
      <c r="F125" s="356"/>
      <c r="G125" s="189"/>
      <c r="H125" s="401"/>
      <c r="I125" s="401"/>
      <c r="J125" s="401"/>
      <c r="K125" s="107">
        <f>E125-B125</f>
        <v>0</v>
      </c>
      <c r="L125" s="298"/>
    </row>
    <row r="126" spans="1:12" hidden="1" outlineLevel="2">
      <c r="A126" s="287"/>
      <c r="B126" s="356"/>
      <c r="C126" s="356"/>
      <c r="D126" s="356"/>
      <c r="E126" s="356"/>
      <c r="F126" s="356"/>
      <c r="G126" s="189"/>
      <c r="H126" s="408"/>
      <c r="I126" s="408"/>
      <c r="J126" s="408"/>
      <c r="K126" s="107">
        <f>E126-B126</f>
        <v>0</v>
      </c>
      <c r="L126" s="298"/>
    </row>
    <row r="127" spans="1:12" ht="12.75" hidden="1" customHeight="1" outlineLevel="1" collapsed="1">
      <c r="A127" s="289"/>
      <c r="B127" s="422" t="s">
        <v>460</v>
      </c>
      <c r="C127" s="423"/>
      <c r="D127" s="423"/>
      <c r="E127" s="423"/>
      <c r="F127" s="423"/>
      <c r="G127" s="423"/>
      <c r="H127" s="423"/>
      <c r="I127" s="423"/>
      <c r="J127" s="423"/>
      <c r="K127" s="424"/>
      <c r="L127" s="108">
        <f>SUM(K123:K126)</f>
        <v>0</v>
      </c>
    </row>
    <row r="128" spans="1:12" ht="12.75" hidden="1" customHeight="1" outlineLevel="1">
      <c r="A128" s="194"/>
      <c r="B128" s="402" t="s">
        <v>461</v>
      </c>
      <c r="C128" s="403"/>
      <c r="D128" s="403"/>
      <c r="E128" s="403"/>
      <c r="F128" s="403"/>
      <c r="G128" s="403"/>
      <c r="H128" s="403"/>
      <c r="I128" s="403"/>
      <c r="J128" s="403"/>
      <c r="K128" s="404"/>
      <c r="L128" s="108">
        <f>L121+L127</f>
        <v>0</v>
      </c>
    </row>
    <row r="129" spans="1:18" hidden="1" outlineLevel="1">
      <c r="A129" s="361" t="s">
        <v>462</v>
      </c>
      <c r="B129" s="361"/>
      <c r="C129" s="361"/>
      <c r="D129" s="361"/>
      <c r="E129" s="361"/>
      <c r="F129" s="361"/>
      <c r="G129" s="361"/>
      <c r="H129" s="361"/>
      <c r="I129" s="361"/>
      <c r="J129" s="361"/>
      <c r="K129" s="361"/>
      <c r="L129" s="108">
        <f>SUM(L15,L21,L27,L39,L49,L59,L70,L78,L86,L94,L103,L112,L121)</f>
        <v>0</v>
      </c>
      <c r="N129" s="3"/>
    </row>
    <row r="130" spans="1:18" hidden="1" outlineLevel="1">
      <c r="A130" s="418" t="s">
        <v>473</v>
      </c>
      <c r="B130" s="361"/>
      <c r="C130" s="361"/>
      <c r="D130" s="361"/>
      <c r="E130" s="361"/>
      <c r="F130" s="361"/>
      <c r="G130" s="361"/>
      <c r="H130" s="361"/>
      <c r="I130" s="361"/>
      <c r="J130" s="361"/>
      <c r="K130" s="361"/>
      <c r="L130" s="108">
        <f>SUM(L18+L24+L36+L46+L56+L67+L75+L83+L91+L100+L109+L118+L127)</f>
        <v>0</v>
      </c>
    </row>
    <row r="131" spans="1:18" hidden="1" outlineLevel="1">
      <c r="A131" s="418" t="s">
        <v>464</v>
      </c>
      <c r="B131" s="361"/>
      <c r="C131" s="361"/>
      <c r="D131" s="361"/>
      <c r="E131" s="361"/>
      <c r="F131" s="361"/>
      <c r="G131" s="361"/>
      <c r="H131" s="361"/>
      <c r="I131" s="361"/>
      <c r="J131" s="361"/>
      <c r="K131" s="361"/>
      <c r="L131" s="108">
        <f>L129+L130</f>
        <v>0</v>
      </c>
    </row>
    <row r="132" spans="1:18" ht="13.5" hidden="1" outlineLevel="1" thickBot="1">
      <c r="A132" s="418" t="s">
        <v>197</v>
      </c>
      <c r="B132" s="361"/>
      <c r="C132" s="361"/>
      <c r="D132" s="361"/>
      <c r="E132" s="361"/>
      <c r="F132" s="361"/>
      <c r="G132" s="361"/>
      <c r="H132" s="361"/>
      <c r="I132" s="361"/>
      <c r="J132" s="361"/>
      <c r="K132" s="361"/>
      <c r="L132" s="115">
        <f>'CO3'!L132</f>
        <v>0</v>
      </c>
    </row>
    <row r="133" spans="1:18" ht="14.45" customHeight="1">
      <c r="A133" s="419" t="s">
        <v>465</v>
      </c>
      <c r="B133" s="420"/>
      <c r="C133" s="420"/>
      <c r="D133" s="420"/>
      <c r="E133" s="420"/>
      <c r="F133" s="420"/>
      <c r="G133" s="420"/>
      <c r="H133" s="420"/>
      <c r="I133" s="420"/>
      <c r="J133" s="420"/>
      <c r="K133" s="420"/>
      <c r="L133" s="421"/>
    </row>
    <row r="134" spans="1:18" ht="26.1" customHeight="1">
      <c r="A134" s="405" t="s">
        <v>466</v>
      </c>
      <c r="B134" s="406"/>
      <c r="C134" s="406"/>
      <c r="D134" s="406"/>
      <c r="E134" s="406"/>
      <c r="F134" s="406"/>
      <c r="G134" s="406"/>
      <c r="H134" s="406"/>
      <c r="I134" s="406"/>
      <c r="J134" s="406"/>
      <c r="K134" s="406"/>
      <c r="L134" s="407"/>
    </row>
    <row r="135" spans="1:18" ht="30" customHeight="1">
      <c r="A135" s="412" t="s">
        <v>204</v>
      </c>
      <c r="B135" s="413"/>
      <c r="C135" s="413"/>
      <c r="D135" s="413"/>
      <c r="E135" s="413"/>
      <c r="F135" s="413"/>
      <c r="G135" s="414"/>
      <c r="H135" s="414"/>
      <c r="I135" s="414"/>
      <c r="J135" s="414"/>
      <c r="K135" s="190" t="s">
        <v>205</v>
      </c>
      <c r="L135" s="113"/>
    </row>
    <row r="136" spans="1:18" ht="30.75" customHeight="1">
      <c r="A136" s="412" t="s">
        <v>207</v>
      </c>
      <c r="B136" s="413"/>
      <c r="C136" s="413"/>
      <c r="D136" s="413"/>
      <c r="E136" s="413"/>
      <c r="F136" s="413"/>
      <c r="G136" s="414"/>
      <c r="H136" s="414"/>
      <c r="I136" s="414"/>
      <c r="J136" s="414"/>
      <c r="K136" s="190" t="s">
        <v>205</v>
      </c>
      <c r="L136" s="113"/>
    </row>
    <row r="137" spans="1:18" ht="31.5" customHeight="1" thickBot="1">
      <c r="A137" s="415" t="s">
        <v>467</v>
      </c>
      <c r="B137" s="416"/>
      <c r="C137" s="416"/>
      <c r="D137" s="416"/>
      <c r="E137" s="416"/>
      <c r="F137" s="416"/>
      <c r="G137" s="417"/>
      <c r="H137" s="417"/>
      <c r="I137" s="417"/>
      <c r="J137" s="417"/>
      <c r="K137" s="85" t="s">
        <v>205</v>
      </c>
      <c r="L137" s="114"/>
    </row>
    <row r="138" spans="1:18" ht="13.5" thickBot="1">
      <c r="A138" s="409" t="s">
        <v>209</v>
      </c>
      <c r="B138" s="410"/>
      <c r="C138" s="410"/>
      <c r="D138" s="410"/>
      <c r="E138" s="410"/>
      <c r="F138" s="410"/>
      <c r="G138" s="410"/>
      <c r="H138" s="410"/>
      <c r="I138" s="410"/>
      <c r="J138" s="410"/>
      <c r="K138" s="410"/>
      <c r="L138" s="411"/>
    </row>
    <row r="139" spans="1:18" s="1" customFormat="1" ht="11.25" customHeight="1">
      <c r="A139" s="2"/>
      <c r="B139" s="2"/>
      <c r="C139" s="2"/>
      <c r="D139" s="2"/>
      <c r="E139" s="2"/>
      <c r="F139" s="2"/>
      <c r="G139" s="2"/>
      <c r="I139"/>
      <c r="J139"/>
      <c r="K139"/>
      <c r="L139"/>
      <c r="M139"/>
      <c r="N139"/>
      <c r="O139"/>
      <c r="P139"/>
      <c r="Q139"/>
      <c r="R139"/>
    </row>
    <row r="140" spans="1:18" s="1" customFormat="1" ht="54.95" customHeight="1">
      <c r="A140" s="280" t="s">
        <v>468</v>
      </c>
      <c r="B140" s="280"/>
      <c r="C140" s="280"/>
      <c r="D140" s="280"/>
      <c r="E140" s="280"/>
      <c r="F140" s="280"/>
      <c r="G140" s="280"/>
      <c r="H140" s="280"/>
      <c r="I140" s="280"/>
      <c r="J140" s="280"/>
      <c r="K140" s="280"/>
      <c r="L140" s="280"/>
      <c r="M140"/>
      <c r="N140"/>
      <c r="O140"/>
      <c r="P140"/>
      <c r="Q140"/>
      <c r="R140"/>
    </row>
    <row r="146" spans="7:7">
      <c r="G146" s="35"/>
    </row>
  </sheetData>
  <sheetProtection algorithmName="SHA-512" hashValue="lp+Hx9M919knZ1gpflYrN1hij40YdjGC6BlRnZFFC12tTJovUihl6eMJsmAve/fca812HEqJnG0WXWdATGVw2A==" saltValue="ApodFcb58tB8Fwd7XNVYrA==" spinCount="100000" sheet="1" formatCells="0" formatColumns="0" formatRows="0"/>
  <mergeCells count="311">
    <mergeCell ref="A4:E4"/>
    <mergeCell ref="F4:G4"/>
    <mergeCell ref="H4:J4"/>
    <mergeCell ref="K4:L4"/>
    <mergeCell ref="A6:E6"/>
    <mergeCell ref="F6:G6"/>
    <mergeCell ref="H6:J6"/>
    <mergeCell ref="K6:L6"/>
    <mergeCell ref="A1:L1"/>
    <mergeCell ref="A2:E2"/>
    <mergeCell ref="F2:G2"/>
    <mergeCell ref="H2:J2"/>
    <mergeCell ref="K2:L2"/>
    <mergeCell ref="A3:E3"/>
    <mergeCell ref="F3:G3"/>
    <mergeCell ref="H3:J3"/>
    <mergeCell ref="K3:L3"/>
    <mergeCell ref="A5:E5"/>
    <mergeCell ref="F5:G5"/>
    <mergeCell ref="H5:J5"/>
    <mergeCell ref="K5:L5"/>
    <mergeCell ref="A10:E10"/>
    <mergeCell ref="F10:G10"/>
    <mergeCell ref="H10:J10"/>
    <mergeCell ref="K10:L10"/>
    <mergeCell ref="A11:L11"/>
    <mergeCell ref="A12:L12"/>
    <mergeCell ref="A7:E7"/>
    <mergeCell ref="F7:G7"/>
    <mergeCell ref="H7:J7"/>
    <mergeCell ref="K7:L7"/>
    <mergeCell ref="A8:L8"/>
    <mergeCell ref="A9:E9"/>
    <mergeCell ref="F9:G9"/>
    <mergeCell ref="H9:J9"/>
    <mergeCell ref="K9:L9"/>
    <mergeCell ref="A13:L13"/>
    <mergeCell ref="A14:L14"/>
    <mergeCell ref="A15:A18"/>
    <mergeCell ref="B15:K15"/>
    <mergeCell ref="B16:D16"/>
    <mergeCell ref="E16:F16"/>
    <mergeCell ref="H16:J16"/>
    <mergeCell ref="B17:D17"/>
    <mergeCell ref="E17:F17"/>
    <mergeCell ref="H17:J17"/>
    <mergeCell ref="B18:K18"/>
    <mergeCell ref="B19:K19"/>
    <mergeCell ref="A20:L20"/>
    <mergeCell ref="A21:A24"/>
    <mergeCell ref="B21:K21"/>
    <mergeCell ref="B22:D22"/>
    <mergeCell ref="E22:F22"/>
    <mergeCell ref="H22:J22"/>
    <mergeCell ref="B23:D23"/>
    <mergeCell ref="E23:F23"/>
    <mergeCell ref="H23:J23"/>
    <mergeCell ref="B24:K24"/>
    <mergeCell ref="B25:K25"/>
    <mergeCell ref="A26:L26"/>
    <mergeCell ref="A27:A36"/>
    <mergeCell ref="B27:K27"/>
    <mergeCell ref="B28:D28"/>
    <mergeCell ref="E28:F28"/>
    <mergeCell ref="H28:J28"/>
    <mergeCell ref="B29:D29"/>
    <mergeCell ref="E32:F32"/>
    <mergeCell ref="H32:J32"/>
    <mergeCell ref="B33:D33"/>
    <mergeCell ref="E33:F33"/>
    <mergeCell ref="H33:J33"/>
    <mergeCell ref="B34:D34"/>
    <mergeCell ref="E34:F34"/>
    <mergeCell ref="H34:J34"/>
    <mergeCell ref="E29:F29"/>
    <mergeCell ref="H29:J29"/>
    <mergeCell ref="B30:D30"/>
    <mergeCell ref="E30:F30"/>
    <mergeCell ref="H30:J30"/>
    <mergeCell ref="B31:D31"/>
    <mergeCell ref="E31:F31"/>
    <mergeCell ref="H31:J31"/>
    <mergeCell ref="B32:D32"/>
    <mergeCell ref="L41:L45"/>
    <mergeCell ref="B42:D42"/>
    <mergeCell ref="E42:F42"/>
    <mergeCell ref="H42:J42"/>
    <mergeCell ref="B43:D43"/>
    <mergeCell ref="E43:F43"/>
    <mergeCell ref="H43:J43"/>
    <mergeCell ref="B35:D35"/>
    <mergeCell ref="E35:K35"/>
    <mergeCell ref="B36:K36"/>
    <mergeCell ref="B37:K37"/>
    <mergeCell ref="A38:L38"/>
    <mergeCell ref="A39:A46"/>
    <mergeCell ref="B39:K39"/>
    <mergeCell ref="B40:D40"/>
    <mergeCell ref="E40:F40"/>
    <mergeCell ref="H40:J40"/>
    <mergeCell ref="L29:L35"/>
    <mergeCell ref="B44:D44"/>
    <mergeCell ref="E44:F44"/>
    <mergeCell ref="H44:J44"/>
    <mergeCell ref="B45:D45"/>
    <mergeCell ref="E45:K45"/>
    <mergeCell ref="B46:K46"/>
    <mergeCell ref="B41:D41"/>
    <mergeCell ref="E41:F41"/>
    <mergeCell ref="H41:J41"/>
    <mergeCell ref="B47:K47"/>
    <mergeCell ref="A48:L48"/>
    <mergeCell ref="A49:A56"/>
    <mergeCell ref="B49:K49"/>
    <mergeCell ref="B50:D50"/>
    <mergeCell ref="E50:F50"/>
    <mergeCell ref="H50:J50"/>
    <mergeCell ref="B51:D51"/>
    <mergeCell ref="E51:F51"/>
    <mergeCell ref="H51:J51"/>
    <mergeCell ref="B55:D55"/>
    <mergeCell ref="E55:K55"/>
    <mergeCell ref="B56:K56"/>
    <mergeCell ref="L51:L55"/>
    <mergeCell ref="B52:D52"/>
    <mergeCell ref="E52:F52"/>
    <mergeCell ref="H52:J52"/>
    <mergeCell ref="B53:D53"/>
    <mergeCell ref="E53:F53"/>
    <mergeCell ref="H53:J53"/>
    <mergeCell ref="B54:D54"/>
    <mergeCell ref="E54:F54"/>
    <mergeCell ref="H54:J54"/>
    <mergeCell ref="B63:D63"/>
    <mergeCell ref="E63:F63"/>
    <mergeCell ref="H63:J63"/>
    <mergeCell ref="B66:D66"/>
    <mergeCell ref="E66:K66"/>
    <mergeCell ref="B57:K57"/>
    <mergeCell ref="A58:L58"/>
    <mergeCell ref="A59:A67"/>
    <mergeCell ref="B59:K59"/>
    <mergeCell ref="B60:D60"/>
    <mergeCell ref="E60:F60"/>
    <mergeCell ref="H60:J60"/>
    <mergeCell ref="B64:D64"/>
    <mergeCell ref="E64:F64"/>
    <mergeCell ref="H64:J64"/>
    <mergeCell ref="B65:D65"/>
    <mergeCell ref="E65:F65"/>
    <mergeCell ref="H65:J65"/>
    <mergeCell ref="B61:D61"/>
    <mergeCell ref="B67:K67"/>
    <mergeCell ref="B68:K68"/>
    <mergeCell ref="A69:L69"/>
    <mergeCell ref="A70:A75"/>
    <mergeCell ref="B70:K70"/>
    <mergeCell ref="B71:D71"/>
    <mergeCell ref="E71:F71"/>
    <mergeCell ref="H71:J71"/>
    <mergeCell ref="L61:L66"/>
    <mergeCell ref="B72:D72"/>
    <mergeCell ref="E72:F72"/>
    <mergeCell ref="H72:J72"/>
    <mergeCell ref="L72:L74"/>
    <mergeCell ref="B73:D73"/>
    <mergeCell ref="E73:F73"/>
    <mergeCell ref="H73:J73"/>
    <mergeCell ref="B74:D74"/>
    <mergeCell ref="E74:F74"/>
    <mergeCell ref="H74:J74"/>
    <mergeCell ref="E61:F61"/>
    <mergeCell ref="H61:J61"/>
    <mergeCell ref="B62:D62"/>
    <mergeCell ref="E62:F62"/>
    <mergeCell ref="H62:J62"/>
    <mergeCell ref="H80:J80"/>
    <mergeCell ref="L80:L82"/>
    <mergeCell ref="B81:D81"/>
    <mergeCell ref="E81:F81"/>
    <mergeCell ref="H81:J81"/>
    <mergeCell ref="B82:D82"/>
    <mergeCell ref="E82:F82"/>
    <mergeCell ref="H82:J82"/>
    <mergeCell ref="B75:K75"/>
    <mergeCell ref="B76:K76"/>
    <mergeCell ref="A77:L77"/>
    <mergeCell ref="A78:A83"/>
    <mergeCell ref="B78:K78"/>
    <mergeCell ref="B79:D79"/>
    <mergeCell ref="E79:F79"/>
    <mergeCell ref="H79:J79"/>
    <mergeCell ref="B80:D80"/>
    <mergeCell ref="E80:F80"/>
    <mergeCell ref="H88:J88"/>
    <mergeCell ref="L88:L90"/>
    <mergeCell ref="B89:D89"/>
    <mergeCell ref="E89:F89"/>
    <mergeCell ref="H89:J89"/>
    <mergeCell ref="B90:D90"/>
    <mergeCell ref="E90:F90"/>
    <mergeCell ref="H90:J90"/>
    <mergeCell ref="B83:K83"/>
    <mergeCell ref="B84:K84"/>
    <mergeCell ref="A85:L85"/>
    <mergeCell ref="A86:A91"/>
    <mergeCell ref="B86:K86"/>
    <mergeCell ref="B87:D87"/>
    <mergeCell ref="E87:F87"/>
    <mergeCell ref="H87:J87"/>
    <mergeCell ref="B88:D88"/>
    <mergeCell ref="E88:F88"/>
    <mergeCell ref="B91:K91"/>
    <mergeCell ref="B92:K92"/>
    <mergeCell ref="A93:L93"/>
    <mergeCell ref="A94:A100"/>
    <mergeCell ref="B94:K94"/>
    <mergeCell ref="B95:D95"/>
    <mergeCell ref="E95:F95"/>
    <mergeCell ref="H95:J95"/>
    <mergeCell ref="B96:D96"/>
    <mergeCell ref="E96:F96"/>
    <mergeCell ref="H96:J96"/>
    <mergeCell ref="L96:L99"/>
    <mergeCell ref="B97:D97"/>
    <mergeCell ref="E97:F97"/>
    <mergeCell ref="H97:J97"/>
    <mergeCell ref="B98:D98"/>
    <mergeCell ref="E98:F98"/>
    <mergeCell ref="H98:J98"/>
    <mergeCell ref="B99:D99"/>
    <mergeCell ref="E99:K99"/>
    <mergeCell ref="B100:K100"/>
    <mergeCell ref="B101:K101"/>
    <mergeCell ref="A102:L102"/>
    <mergeCell ref="A103:A109"/>
    <mergeCell ref="B103:K103"/>
    <mergeCell ref="B104:D104"/>
    <mergeCell ref="E104:F104"/>
    <mergeCell ref="H104:J104"/>
    <mergeCell ref="B105:D105"/>
    <mergeCell ref="E105:F105"/>
    <mergeCell ref="B108:D108"/>
    <mergeCell ref="E108:F108"/>
    <mergeCell ref="H108:J108"/>
    <mergeCell ref="B109:K109"/>
    <mergeCell ref="B110:K110"/>
    <mergeCell ref="A111:L111"/>
    <mergeCell ref="H105:J105"/>
    <mergeCell ref="B106:D106"/>
    <mergeCell ref="E106:F106"/>
    <mergeCell ref="H106:J106"/>
    <mergeCell ref="B107:D107"/>
    <mergeCell ref="E107:F107"/>
    <mergeCell ref="H107:J107"/>
    <mergeCell ref="A112:A118"/>
    <mergeCell ref="B112:K112"/>
    <mergeCell ref="B113:D113"/>
    <mergeCell ref="E113:F113"/>
    <mergeCell ref="H113:J113"/>
    <mergeCell ref="B114:D114"/>
    <mergeCell ref="E114:F114"/>
    <mergeCell ref="H114:J114"/>
    <mergeCell ref="B118:K118"/>
    <mergeCell ref="L114:L117"/>
    <mergeCell ref="B115:D115"/>
    <mergeCell ref="E115:F115"/>
    <mergeCell ref="H115:J115"/>
    <mergeCell ref="B116:D116"/>
    <mergeCell ref="E116:F116"/>
    <mergeCell ref="H116:J116"/>
    <mergeCell ref="B117:D117"/>
    <mergeCell ref="E117:F117"/>
    <mergeCell ref="H117:J117"/>
    <mergeCell ref="B119:K119"/>
    <mergeCell ref="A120:L120"/>
    <mergeCell ref="A121:A127"/>
    <mergeCell ref="B121:F121"/>
    <mergeCell ref="H121:J121"/>
    <mergeCell ref="B122:D122"/>
    <mergeCell ref="E122:F122"/>
    <mergeCell ref="H122:J122"/>
    <mergeCell ref="B123:D123"/>
    <mergeCell ref="E123:F123"/>
    <mergeCell ref="H126:J126"/>
    <mergeCell ref="B127:K127"/>
    <mergeCell ref="B128:K128"/>
    <mergeCell ref="A129:K129"/>
    <mergeCell ref="A130:K130"/>
    <mergeCell ref="A132:K132"/>
    <mergeCell ref="H123:J123"/>
    <mergeCell ref="L123:L126"/>
    <mergeCell ref="B124:D124"/>
    <mergeCell ref="E124:F124"/>
    <mergeCell ref="H124:J124"/>
    <mergeCell ref="B125:D125"/>
    <mergeCell ref="E125:F125"/>
    <mergeCell ref="H125:J125"/>
    <mergeCell ref="B126:D126"/>
    <mergeCell ref="E126:F126"/>
    <mergeCell ref="A131:K131"/>
    <mergeCell ref="A137:F137"/>
    <mergeCell ref="G137:J137"/>
    <mergeCell ref="A138:L138"/>
    <mergeCell ref="A140:L140"/>
    <mergeCell ref="A133:L133"/>
    <mergeCell ref="A134:L134"/>
    <mergeCell ref="A135:F135"/>
    <mergeCell ref="G135:J135"/>
    <mergeCell ref="A136:F136"/>
    <mergeCell ref="G136:J136"/>
  </mergeCells>
  <dataValidations count="1">
    <dataValidation operator="lessThan" allowBlank="1" showInputMessage="1" showErrorMessage="1" sqref="A1:L1048576" xr:uid="{995FA446-4F74-4B4F-A639-AE3C94CABBC0}"/>
  </dataValidations>
  <pageMargins left="0.7" right="0.7" top="0.75" bottom="0.75" header="0.3" footer="0.3"/>
  <pageSetup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801833-F78F-42E4-8707-D02330CC2F10}">
  <sheetPr>
    <outlinePr summaryBelow="0"/>
  </sheetPr>
  <dimension ref="A1:R146"/>
  <sheetViews>
    <sheetView workbookViewId="0">
      <selection activeCell="A139" sqref="A139"/>
    </sheetView>
  </sheetViews>
  <sheetFormatPr defaultRowHeight="12.95" outlineLevelRow="2"/>
  <cols>
    <col min="1" max="1" width="2" style="34" customWidth="1"/>
    <col min="2" max="2" width="12.6640625" style="34" customWidth="1"/>
    <col min="3" max="3" width="2.1640625" style="34" customWidth="1"/>
    <col min="4" max="4" width="3.33203125" style="34" customWidth="1"/>
    <col min="5" max="5" width="4.83203125" style="34" customWidth="1"/>
    <col min="6" max="6" width="12.83203125" style="34" customWidth="1"/>
    <col min="7" max="7" width="29.6640625" style="34" customWidth="1"/>
    <col min="8" max="8" width="9.6640625" style="34" customWidth="1"/>
    <col min="9" max="9" width="15.5" style="34" customWidth="1"/>
    <col min="10" max="10" width="3.83203125" style="34" customWidth="1"/>
    <col min="11" max="12" width="18" style="34" customWidth="1"/>
  </cols>
  <sheetData>
    <row r="1" spans="1:12" ht="18.600000000000001">
      <c r="A1" s="342" t="s">
        <v>394</v>
      </c>
      <c r="B1" s="343"/>
      <c r="C1" s="343"/>
      <c r="D1" s="343"/>
      <c r="E1" s="343"/>
      <c r="F1" s="343"/>
      <c r="G1" s="343"/>
      <c r="H1" s="343"/>
      <c r="I1" s="343"/>
      <c r="J1" s="343"/>
      <c r="K1" s="343"/>
      <c r="L1" s="344"/>
    </row>
    <row r="2" spans="1:12">
      <c r="A2" s="345" t="s">
        <v>395</v>
      </c>
      <c r="B2" s="346"/>
      <c r="C2" s="346"/>
      <c r="D2" s="346"/>
      <c r="E2" s="346"/>
      <c r="F2" s="347" t="str">
        <f>IF('11.17'!D2="","",'11.17'!D2)</f>
        <v>Program:</v>
      </c>
      <c r="G2" s="347"/>
      <c r="H2" s="348" t="s">
        <v>396</v>
      </c>
      <c r="I2" s="348"/>
      <c r="J2" s="349"/>
      <c r="K2" s="350" t="s">
        <v>475</v>
      </c>
      <c r="L2" s="351"/>
    </row>
    <row r="3" spans="1:12">
      <c r="A3" s="300" t="s">
        <v>97</v>
      </c>
      <c r="B3" s="301"/>
      <c r="C3" s="301"/>
      <c r="D3" s="301"/>
      <c r="E3" s="302"/>
      <c r="F3" s="303" t="str">
        <f>IF('11.17'!C6="","",'11.17'!C6)</f>
        <v/>
      </c>
      <c r="G3" s="303"/>
      <c r="H3" s="301" t="s">
        <v>99</v>
      </c>
      <c r="I3" s="301"/>
      <c r="J3" s="302"/>
      <c r="K3" s="352" t="str">
        <f>IF('11.17'!C7="","",'11.17'!C7)</f>
        <v/>
      </c>
      <c r="L3" s="353"/>
    </row>
    <row r="4" spans="1:12">
      <c r="A4" s="300" t="s">
        <v>398</v>
      </c>
      <c r="B4" s="301"/>
      <c r="C4" s="301"/>
      <c r="D4" s="301"/>
      <c r="E4" s="302"/>
      <c r="F4" s="303" t="str">
        <f>IF('11.17'!G6="SELECT FROM DROP DOWN","",'11.17'!G6)</f>
        <v/>
      </c>
      <c r="G4" s="303"/>
      <c r="H4" s="301" t="s">
        <v>100</v>
      </c>
      <c r="I4" s="301"/>
      <c r="J4" s="302"/>
      <c r="K4" s="303" t="str">
        <f>IF('11.17'!G7="","",'11.17'!G7)</f>
        <v/>
      </c>
      <c r="L4" s="304"/>
    </row>
    <row r="5" spans="1:12" ht="27.6" customHeight="1">
      <c r="A5" s="337" t="s">
        <v>96</v>
      </c>
      <c r="B5" s="338"/>
      <c r="C5" s="338"/>
      <c r="D5" s="338"/>
      <c r="E5" s="339"/>
      <c r="F5" s="340" t="str">
        <f>IF('11.17'!G7="SELECT FROM DROP DOWN","",'11.17'!G7)</f>
        <v/>
      </c>
      <c r="G5" s="340"/>
      <c r="H5" s="338" t="s">
        <v>399</v>
      </c>
      <c r="I5" s="338"/>
      <c r="J5" s="339"/>
      <c r="K5" s="340" t="str">
        <f>IF('11.17'!G8="","",'11.17'!G8)</f>
        <v/>
      </c>
      <c r="L5" s="341"/>
    </row>
    <row r="6" spans="1:12">
      <c r="A6" s="300" t="s">
        <v>88</v>
      </c>
      <c r="B6" s="301"/>
      <c r="C6" s="301"/>
      <c r="D6" s="301"/>
      <c r="E6" s="302"/>
      <c r="F6" s="303" t="str">
        <f>IF('11.17'!C2="","",'11.17'!C2)</f>
        <v/>
      </c>
      <c r="G6" s="303"/>
      <c r="H6" s="301" t="s">
        <v>92</v>
      </c>
      <c r="I6" s="301"/>
      <c r="J6" s="302"/>
      <c r="K6" s="303" t="str">
        <f>IF('11.17'!C4="","",'11.17'!C4)</f>
        <v/>
      </c>
      <c r="L6" s="304"/>
    </row>
    <row r="7" spans="1:12" ht="28.5" customHeight="1" thickBot="1">
      <c r="A7" s="305" t="s">
        <v>400</v>
      </c>
      <c r="B7" s="306"/>
      <c r="C7" s="306"/>
      <c r="D7" s="306"/>
      <c r="E7" s="306"/>
      <c r="F7" s="307">
        <f>'CO4'!L131</f>
        <v>0</v>
      </c>
      <c r="G7" s="307"/>
      <c r="H7" s="308" t="s">
        <v>401</v>
      </c>
      <c r="I7" s="309"/>
      <c r="J7" s="309"/>
      <c r="K7" s="310"/>
      <c r="L7" s="311"/>
    </row>
    <row r="8" spans="1:12" ht="15" collapsed="1" thickBot="1">
      <c r="A8" s="330" t="s">
        <v>402</v>
      </c>
      <c r="B8" s="331"/>
      <c r="C8" s="331"/>
      <c r="D8" s="331"/>
      <c r="E8" s="331"/>
      <c r="F8" s="331"/>
      <c r="G8" s="331"/>
      <c r="H8" s="331"/>
      <c r="I8" s="331"/>
      <c r="J8" s="331"/>
      <c r="K8" s="331"/>
      <c r="L8" s="332"/>
    </row>
    <row r="9" spans="1:12" ht="28.5" hidden="1" customHeight="1" outlineLevel="1">
      <c r="A9" s="333" t="s">
        <v>403</v>
      </c>
      <c r="B9" s="334"/>
      <c r="C9" s="334"/>
      <c r="D9" s="334"/>
      <c r="E9" s="334"/>
      <c r="F9" s="335"/>
      <c r="G9" s="335"/>
      <c r="H9" s="334" t="s">
        <v>404</v>
      </c>
      <c r="I9" s="334"/>
      <c r="J9" s="334"/>
      <c r="K9" s="335"/>
      <c r="L9" s="336"/>
    </row>
    <row r="10" spans="1:12" ht="26.25" hidden="1" customHeight="1" outlineLevel="1">
      <c r="A10" s="312" t="s">
        <v>405</v>
      </c>
      <c r="B10" s="313"/>
      <c r="C10" s="313"/>
      <c r="D10" s="313"/>
      <c r="E10" s="314"/>
      <c r="F10" s="315"/>
      <c r="G10" s="315"/>
      <c r="H10" s="316" t="s">
        <v>406</v>
      </c>
      <c r="I10" s="316"/>
      <c r="J10" s="316"/>
      <c r="K10" s="315"/>
      <c r="L10" s="317"/>
    </row>
    <row r="11" spans="1:12" ht="17.25" hidden="1" customHeight="1" outlineLevel="1">
      <c r="A11" s="318" t="s">
        <v>407</v>
      </c>
      <c r="B11" s="316"/>
      <c r="C11" s="316"/>
      <c r="D11" s="316"/>
      <c r="E11" s="316"/>
      <c r="F11" s="316"/>
      <c r="G11" s="316"/>
      <c r="H11" s="316"/>
      <c r="I11" s="316"/>
      <c r="J11" s="316"/>
      <c r="K11" s="316"/>
      <c r="L11" s="319"/>
    </row>
    <row r="12" spans="1:12" ht="42" hidden="1" customHeight="1" outlineLevel="1" thickBot="1">
      <c r="A12" s="320"/>
      <c r="B12" s="321"/>
      <c r="C12" s="321"/>
      <c r="D12" s="321"/>
      <c r="E12" s="321"/>
      <c r="F12" s="321"/>
      <c r="G12" s="321"/>
      <c r="H12" s="321"/>
      <c r="I12" s="321"/>
      <c r="J12" s="321"/>
      <c r="K12" s="321"/>
      <c r="L12" s="322"/>
    </row>
    <row r="13" spans="1:12" ht="15" collapsed="1" thickBot="1">
      <c r="A13" s="323" t="s">
        <v>408</v>
      </c>
      <c r="B13" s="324"/>
      <c r="C13" s="324"/>
      <c r="D13" s="324"/>
      <c r="E13" s="324"/>
      <c r="F13" s="324"/>
      <c r="G13" s="324"/>
      <c r="H13" s="324"/>
      <c r="I13" s="324"/>
      <c r="J13" s="324"/>
      <c r="K13" s="324"/>
      <c r="L13" s="325"/>
    </row>
    <row r="14" spans="1:12" hidden="1" outlineLevel="1" collapsed="1">
      <c r="A14" s="326" t="s">
        <v>409</v>
      </c>
      <c r="B14" s="326"/>
      <c r="C14" s="326"/>
      <c r="D14" s="326"/>
      <c r="E14" s="326"/>
      <c r="F14" s="326"/>
      <c r="G14" s="326"/>
      <c r="H14" s="326"/>
      <c r="I14" s="326"/>
      <c r="J14" s="326"/>
      <c r="K14" s="326"/>
      <c r="L14" s="326"/>
    </row>
    <row r="15" spans="1:12" hidden="1" outlineLevel="2">
      <c r="A15" s="285" t="s">
        <v>103</v>
      </c>
      <c r="B15" s="284" t="s">
        <v>410</v>
      </c>
      <c r="C15" s="284"/>
      <c r="D15" s="284"/>
      <c r="E15" s="284"/>
      <c r="F15" s="284"/>
      <c r="G15" s="284"/>
      <c r="H15" s="284"/>
      <c r="I15" s="284"/>
      <c r="J15" s="284"/>
      <c r="K15" s="284"/>
      <c r="L15" s="108">
        <f>'CO4'!L19</f>
        <v>0</v>
      </c>
    </row>
    <row r="16" spans="1:12" ht="39" hidden="1" outlineLevel="2">
      <c r="A16" s="287"/>
      <c r="B16" s="327" t="s">
        <v>411</v>
      </c>
      <c r="C16" s="328"/>
      <c r="D16" s="329"/>
      <c r="E16" s="327" t="s">
        <v>412</v>
      </c>
      <c r="F16" s="329"/>
      <c r="G16" s="191" t="s">
        <v>413</v>
      </c>
      <c r="H16" s="327" t="s">
        <v>414</v>
      </c>
      <c r="I16" s="328"/>
      <c r="J16" s="329"/>
      <c r="K16" s="191" t="s">
        <v>415</v>
      </c>
      <c r="L16" s="191" t="s">
        <v>109</v>
      </c>
    </row>
    <row r="17" spans="1:12" hidden="1" outlineLevel="2">
      <c r="A17" s="287"/>
      <c r="B17" s="362">
        <f>'CO4'!L19</f>
        <v>0</v>
      </c>
      <c r="C17" s="363"/>
      <c r="D17" s="364"/>
      <c r="E17" s="365"/>
      <c r="F17" s="366"/>
      <c r="G17" s="111"/>
      <c r="H17" s="357"/>
      <c r="I17" s="358"/>
      <c r="J17" s="359"/>
      <c r="K17" s="107">
        <f>IF(E17="",0,E17-B17)</f>
        <v>0</v>
      </c>
      <c r="L17" s="193"/>
    </row>
    <row r="18" spans="1:12" hidden="1" outlineLevel="1" collapsed="1">
      <c r="A18" s="289"/>
      <c r="B18" s="284" t="s">
        <v>416</v>
      </c>
      <c r="C18" s="284"/>
      <c r="D18" s="284"/>
      <c r="E18" s="284"/>
      <c r="F18" s="284"/>
      <c r="G18" s="284"/>
      <c r="H18" s="284"/>
      <c r="I18" s="284"/>
      <c r="J18" s="284"/>
      <c r="K18" s="284"/>
      <c r="L18" s="108">
        <f>K17</f>
        <v>0</v>
      </c>
    </row>
    <row r="19" spans="1:12" hidden="1" outlineLevel="1">
      <c r="A19" s="193"/>
      <c r="B19" s="284" t="s">
        <v>417</v>
      </c>
      <c r="C19" s="284"/>
      <c r="D19" s="284"/>
      <c r="E19" s="284"/>
      <c r="F19" s="284"/>
      <c r="G19" s="284"/>
      <c r="H19" s="284"/>
      <c r="I19" s="284"/>
      <c r="J19" s="284"/>
      <c r="K19" s="284"/>
      <c r="L19" s="108">
        <f>L15+L18</f>
        <v>0</v>
      </c>
    </row>
    <row r="20" spans="1:12" hidden="1" outlineLevel="1" collapsed="1">
      <c r="A20" s="361" t="s">
        <v>418</v>
      </c>
      <c r="B20" s="361"/>
      <c r="C20" s="361"/>
      <c r="D20" s="361"/>
      <c r="E20" s="361"/>
      <c r="F20" s="361"/>
      <c r="G20" s="361"/>
      <c r="H20" s="361"/>
      <c r="I20" s="361"/>
      <c r="J20" s="361"/>
      <c r="K20" s="361"/>
      <c r="L20" s="361"/>
    </row>
    <row r="21" spans="1:12" hidden="1" outlineLevel="2">
      <c r="A21" s="285" t="s">
        <v>103</v>
      </c>
      <c r="B21" s="284" t="s">
        <v>419</v>
      </c>
      <c r="C21" s="284"/>
      <c r="D21" s="284"/>
      <c r="E21" s="284"/>
      <c r="F21" s="284"/>
      <c r="G21" s="284"/>
      <c r="H21" s="284"/>
      <c r="I21" s="284"/>
      <c r="J21" s="284"/>
      <c r="K21" s="284"/>
      <c r="L21" s="108">
        <f>'CO4'!L25</f>
        <v>0</v>
      </c>
    </row>
    <row r="22" spans="1:12" ht="39" hidden="1" outlineLevel="2">
      <c r="A22" s="287"/>
      <c r="B22" s="296" t="s">
        <v>411</v>
      </c>
      <c r="C22" s="296"/>
      <c r="D22" s="296"/>
      <c r="E22" s="296" t="s">
        <v>412</v>
      </c>
      <c r="F22" s="296"/>
      <c r="G22" s="191" t="s">
        <v>413</v>
      </c>
      <c r="H22" s="296" t="s">
        <v>414</v>
      </c>
      <c r="I22" s="296"/>
      <c r="J22" s="296"/>
      <c r="K22" s="191" t="s">
        <v>415</v>
      </c>
      <c r="L22" s="191" t="s">
        <v>109</v>
      </c>
    </row>
    <row r="23" spans="1:12" hidden="1" outlineLevel="2">
      <c r="A23" s="287"/>
      <c r="B23" s="354">
        <f>'CO4'!L25</f>
        <v>0</v>
      </c>
      <c r="C23" s="355"/>
      <c r="D23" s="355"/>
      <c r="E23" s="356"/>
      <c r="F23" s="356"/>
      <c r="G23" s="32"/>
      <c r="H23" s="356"/>
      <c r="I23" s="356"/>
      <c r="J23" s="356"/>
      <c r="K23" s="109">
        <f>IF(E23="",0,E23-B23)</f>
        <v>0</v>
      </c>
      <c r="L23" s="74"/>
    </row>
    <row r="24" spans="1:12" hidden="1" outlineLevel="1" collapsed="1">
      <c r="A24" s="289"/>
      <c r="B24" s="284" t="s">
        <v>420</v>
      </c>
      <c r="C24" s="284"/>
      <c r="D24" s="284"/>
      <c r="E24" s="284"/>
      <c r="F24" s="284"/>
      <c r="G24" s="284"/>
      <c r="H24" s="284"/>
      <c r="I24" s="284"/>
      <c r="J24" s="284"/>
      <c r="K24" s="284"/>
      <c r="L24" s="108">
        <f>K23</f>
        <v>0</v>
      </c>
    </row>
    <row r="25" spans="1:12" hidden="1" outlineLevel="1">
      <c r="A25" s="193"/>
      <c r="B25" s="284" t="s">
        <v>421</v>
      </c>
      <c r="C25" s="284"/>
      <c r="D25" s="284"/>
      <c r="E25" s="284"/>
      <c r="F25" s="284"/>
      <c r="G25" s="284"/>
      <c r="H25" s="284"/>
      <c r="I25" s="284"/>
      <c r="J25" s="284"/>
      <c r="K25" s="284"/>
      <c r="L25" s="108">
        <f>L21+L24</f>
        <v>0</v>
      </c>
    </row>
    <row r="26" spans="1:12" hidden="1" outlineLevel="1" collapsed="1">
      <c r="A26" s="295" t="s">
        <v>118</v>
      </c>
      <c r="B26" s="295"/>
      <c r="C26" s="295"/>
      <c r="D26" s="295"/>
      <c r="E26" s="295"/>
      <c r="F26" s="295"/>
      <c r="G26" s="295"/>
      <c r="H26" s="295"/>
      <c r="I26" s="295"/>
      <c r="J26" s="295"/>
      <c r="K26" s="295"/>
      <c r="L26" s="295"/>
    </row>
    <row r="27" spans="1:12" hidden="1" outlineLevel="2">
      <c r="A27" s="367" t="s">
        <v>119</v>
      </c>
      <c r="B27" s="284" t="s">
        <v>422</v>
      </c>
      <c r="C27" s="284"/>
      <c r="D27" s="284"/>
      <c r="E27" s="284"/>
      <c r="F27" s="284"/>
      <c r="G27" s="284"/>
      <c r="H27" s="284"/>
      <c r="I27" s="284"/>
      <c r="J27" s="284"/>
      <c r="K27" s="284"/>
      <c r="L27" s="108">
        <f>'CO4'!L37</f>
        <v>0</v>
      </c>
    </row>
    <row r="28" spans="1:12" ht="39" hidden="1" outlineLevel="2">
      <c r="A28" s="369"/>
      <c r="B28" s="296" t="s">
        <v>470</v>
      </c>
      <c r="C28" s="296"/>
      <c r="D28" s="296"/>
      <c r="E28" s="296" t="s">
        <v>412</v>
      </c>
      <c r="F28" s="296"/>
      <c r="G28" s="191" t="s">
        <v>424</v>
      </c>
      <c r="H28" s="278" t="s">
        <v>414</v>
      </c>
      <c r="I28" s="278"/>
      <c r="J28" s="278"/>
      <c r="K28" s="191" t="s">
        <v>415</v>
      </c>
      <c r="L28" s="84" t="s">
        <v>109</v>
      </c>
    </row>
    <row r="29" spans="1:12" hidden="1" outlineLevel="2">
      <c r="A29" s="369"/>
      <c r="B29" s="281"/>
      <c r="C29" s="281"/>
      <c r="D29" s="281"/>
      <c r="E29" s="281"/>
      <c r="F29" s="281"/>
      <c r="G29" s="189"/>
      <c r="H29" s="282"/>
      <c r="I29" s="282"/>
      <c r="J29" s="282"/>
      <c r="K29" s="107">
        <f t="shared" ref="K29:K34" si="0">E29-B29</f>
        <v>0</v>
      </c>
      <c r="L29" s="373"/>
    </row>
    <row r="30" spans="1:12" hidden="1" outlineLevel="2">
      <c r="A30" s="369"/>
      <c r="B30" s="281"/>
      <c r="C30" s="281"/>
      <c r="D30" s="281"/>
      <c r="E30" s="281"/>
      <c r="F30" s="281"/>
      <c r="G30" s="189"/>
      <c r="H30" s="283"/>
      <c r="I30" s="283"/>
      <c r="J30" s="283"/>
      <c r="K30" s="107">
        <f t="shared" si="0"/>
        <v>0</v>
      </c>
      <c r="L30" s="374"/>
    </row>
    <row r="31" spans="1:12" hidden="1" outlineLevel="2">
      <c r="A31" s="369"/>
      <c r="B31" s="281"/>
      <c r="C31" s="281"/>
      <c r="D31" s="281"/>
      <c r="E31" s="281"/>
      <c r="F31" s="281"/>
      <c r="G31" s="189"/>
      <c r="H31" s="282"/>
      <c r="I31" s="282"/>
      <c r="J31" s="282"/>
      <c r="K31" s="107">
        <f t="shared" si="0"/>
        <v>0</v>
      </c>
      <c r="L31" s="374"/>
    </row>
    <row r="32" spans="1:12" hidden="1" outlineLevel="2">
      <c r="A32" s="369"/>
      <c r="B32" s="281"/>
      <c r="C32" s="281"/>
      <c r="D32" s="281"/>
      <c r="E32" s="281"/>
      <c r="F32" s="281"/>
      <c r="G32" s="189"/>
      <c r="H32" s="283"/>
      <c r="I32" s="283"/>
      <c r="J32" s="283"/>
      <c r="K32" s="107">
        <f t="shared" si="0"/>
        <v>0</v>
      </c>
      <c r="L32" s="374"/>
    </row>
    <row r="33" spans="1:12" hidden="1" outlineLevel="2">
      <c r="A33" s="369"/>
      <c r="B33" s="281"/>
      <c r="C33" s="281"/>
      <c r="D33" s="281"/>
      <c r="E33" s="281"/>
      <c r="F33" s="281"/>
      <c r="G33" s="189"/>
      <c r="H33" s="282"/>
      <c r="I33" s="282"/>
      <c r="J33" s="282"/>
      <c r="K33" s="107">
        <f t="shared" si="0"/>
        <v>0</v>
      </c>
      <c r="L33" s="374"/>
    </row>
    <row r="34" spans="1:12" hidden="1" outlineLevel="2">
      <c r="A34" s="369"/>
      <c r="B34" s="281"/>
      <c r="C34" s="281"/>
      <c r="D34" s="281"/>
      <c r="E34" s="281"/>
      <c r="F34" s="281"/>
      <c r="G34" s="189"/>
      <c r="H34" s="283"/>
      <c r="I34" s="283"/>
      <c r="J34" s="283"/>
      <c r="K34" s="107">
        <f t="shared" si="0"/>
        <v>0</v>
      </c>
      <c r="L34" s="374"/>
    </row>
    <row r="35" spans="1:12" hidden="1" outlineLevel="2">
      <c r="A35" s="369"/>
      <c r="B35" s="376" t="s">
        <v>425</v>
      </c>
      <c r="C35" s="376"/>
      <c r="D35" s="376"/>
      <c r="E35" s="377"/>
      <c r="F35" s="377"/>
      <c r="G35" s="377"/>
      <c r="H35" s="377"/>
      <c r="I35" s="377"/>
      <c r="J35" s="377"/>
      <c r="K35" s="377"/>
      <c r="L35" s="375"/>
    </row>
    <row r="36" spans="1:12" hidden="1" outlineLevel="1" collapsed="1">
      <c r="A36" s="371"/>
      <c r="B36" s="284" t="s">
        <v>426</v>
      </c>
      <c r="C36" s="284"/>
      <c r="D36" s="284"/>
      <c r="E36" s="284"/>
      <c r="F36" s="284"/>
      <c r="G36" s="284"/>
      <c r="H36" s="284"/>
      <c r="I36" s="284"/>
      <c r="J36" s="284"/>
      <c r="K36" s="284"/>
      <c r="L36" s="108">
        <f>SUM(K29:K34)</f>
        <v>0</v>
      </c>
    </row>
    <row r="37" spans="1:12" hidden="1" outlineLevel="1">
      <c r="A37" s="195"/>
      <c r="B37" s="284" t="s">
        <v>427</v>
      </c>
      <c r="C37" s="284"/>
      <c r="D37" s="284"/>
      <c r="E37" s="284"/>
      <c r="F37" s="284"/>
      <c r="G37" s="284"/>
      <c r="H37" s="284"/>
      <c r="I37" s="284"/>
      <c r="J37" s="284"/>
      <c r="K37" s="284"/>
      <c r="L37" s="108">
        <f>L27+L36</f>
        <v>0</v>
      </c>
    </row>
    <row r="38" spans="1:12" hidden="1" outlineLevel="1" collapsed="1">
      <c r="A38" s="295" t="s">
        <v>127</v>
      </c>
      <c r="B38" s="295"/>
      <c r="C38" s="295"/>
      <c r="D38" s="295"/>
      <c r="E38" s="295"/>
      <c r="F38" s="295"/>
      <c r="G38" s="295"/>
      <c r="H38" s="295"/>
      <c r="I38" s="295"/>
      <c r="J38" s="295"/>
      <c r="K38" s="295"/>
      <c r="L38" s="295"/>
    </row>
    <row r="39" spans="1:12" hidden="1" outlineLevel="2">
      <c r="A39" s="380" t="s">
        <v>103</v>
      </c>
      <c r="B39" s="284" t="s">
        <v>428</v>
      </c>
      <c r="C39" s="284"/>
      <c r="D39" s="284"/>
      <c r="E39" s="284"/>
      <c r="F39" s="284"/>
      <c r="G39" s="284"/>
      <c r="H39" s="284"/>
      <c r="I39" s="284"/>
      <c r="J39" s="284"/>
      <c r="K39" s="284"/>
      <c r="L39" s="108">
        <f>'CO4'!L47</f>
        <v>0</v>
      </c>
    </row>
    <row r="40" spans="1:12" ht="38.25" hidden="1" customHeight="1" outlineLevel="2">
      <c r="A40" s="382"/>
      <c r="B40" s="296" t="s">
        <v>470</v>
      </c>
      <c r="C40" s="296"/>
      <c r="D40" s="296"/>
      <c r="E40" s="296" t="s">
        <v>412</v>
      </c>
      <c r="F40" s="296"/>
      <c r="G40" s="191" t="s">
        <v>413</v>
      </c>
      <c r="H40" s="296" t="s">
        <v>414</v>
      </c>
      <c r="I40" s="296"/>
      <c r="J40" s="296"/>
      <c r="K40" s="191" t="s">
        <v>415</v>
      </c>
      <c r="L40" s="84" t="s">
        <v>109</v>
      </c>
    </row>
    <row r="41" spans="1:12" hidden="1" outlineLevel="2">
      <c r="A41" s="382"/>
      <c r="B41" s="297"/>
      <c r="C41" s="297"/>
      <c r="D41" s="297"/>
      <c r="E41" s="297"/>
      <c r="F41" s="297"/>
      <c r="G41" s="189"/>
      <c r="H41" s="378"/>
      <c r="I41" s="378"/>
      <c r="J41" s="378"/>
      <c r="K41" s="107">
        <f>E41-B41</f>
        <v>0</v>
      </c>
      <c r="L41" s="379"/>
    </row>
    <row r="42" spans="1:12" hidden="1" outlineLevel="2">
      <c r="A42" s="382"/>
      <c r="B42" s="297"/>
      <c r="C42" s="297"/>
      <c r="D42" s="297"/>
      <c r="E42" s="297"/>
      <c r="F42" s="297"/>
      <c r="G42" s="189"/>
      <c r="H42" s="378"/>
      <c r="I42" s="378"/>
      <c r="J42" s="378"/>
      <c r="K42" s="107">
        <f>E42-B42</f>
        <v>0</v>
      </c>
      <c r="L42" s="379"/>
    </row>
    <row r="43" spans="1:12" hidden="1" outlineLevel="2">
      <c r="A43" s="382"/>
      <c r="B43" s="297"/>
      <c r="C43" s="297"/>
      <c r="D43" s="297"/>
      <c r="E43" s="297"/>
      <c r="F43" s="297"/>
      <c r="G43" s="189"/>
      <c r="H43" s="283"/>
      <c r="I43" s="283"/>
      <c r="J43" s="283"/>
      <c r="K43" s="107">
        <f>E43-B43</f>
        <v>0</v>
      </c>
      <c r="L43" s="379"/>
    </row>
    <row r="44" spans="1:12" hidden="1" outlineLevel="2">
      <c r="A44" s="382"/>
      <c r="B44" s="297"/>
      <c r="C44" s="297"/>
      <c r="D44" s="297"/>
      <c r="E44" s="297"/>
      <c r="F44" s="297"/>
      <c r="G44" s="189"/>
      <c r="H44" s="283"/>
      <c r="I44" s="283"/>
      <c r="J44" s="283"/>
      <c r="K44" s="107">
        <f>E44-B44</f>
        <v>0</v>
      </c>
      <c r="L44" s="379"/>
    </row>
    <row r="45" spans="1:12" hidden="1" outlineLevel="2">
      <c r="A45" s="382"/>
      <c r="B45" s="376" t="s">
        <v>425</v>
      </c>
      <c r="C45" s="376"/>
      <c r="D45" s="376"/>
      <c r="E45" s="377"/>
      <c r="F45" s="377"/>
      <c r="G45" s="377"/>
      <c r="H45" s="377"/>
      <c r="I45" s="377"/>
      <c r="J45" s="377"/>
      <c r="K45" s="377"/>
      <c r="L45" s="379"/>
    </row>
    <row r="46" spans="1:12" hidden="1" outlineLevel="1" collapsed="1">
      <c r="A46" s="384"/>
      <c r="B46" s="284" t="s">
        <v>429</v>
      </c>
      <c r="C46" s="284"/>
      <c r="D46" s="284"/>
      <c r="E46" s="284"/>
      <c r="F46" s="284"/>
      <c r="G46" s="284"/>
      <c r="H46" s="284"/>
      <c r="I46" s="284"/>
      <c r="J46" s="284"/>
      <c r="K46" s="284"/>
      <c r="L46" s="108">
        <f>SUM(K41:K44)</f>
        <v>0</v>
      </c>
    </row>
    <row r="47" spans="1:12" hidden="1" outlineLevel="1">
      <c r="A47" s="198"/>
      <c r="B47" s="284" t="s">
        <v>430</v>
      </c>
      <c r="C47" s="284"/>
      <c r="D47" s="284"/>
      <c r="E47" s="284"/>
      <c r="F47" s="284"/>
      <c r="G47" s="284"/>
      <c r="H47" s="284"/>
      <c r="I47" s="284"/>
      <c r="J47" s="284"/>
      <c r="K47" s="284"/>
      <c r="L47" s="108">
        <f>L39+L46</f>
        <v>0</v>
      </c>
    </row>
    <row r="48" spans="1:12" hidden="1" outlineLevel="1" collapsed="1">
      <c r="A48" s="295" t="s">
        <v>134</v>
      </c>
      <c r="B48" s="295"/>
      <c r="C48" s="295"/>
      <c r="D48" s="295"/>
      <c r="E48" s="295"/>
      <c r="F48" s="295"/>
      <c r="G48" s="295"/>
      <c r="H48" s="295"/>
      <c r="I48" s="295"/>
      <c r="J48" s="295"/>
      <c r="K48" s="295"/>
      <c r="L48" s="295"/>
    </row>
    <row r="49" spans="1:12" hidden="1" outlineLevel="2">
      <c r="A49" s="367" t="s">
        <v>135</v>
      </c>
      <c r="B49" s="284" t="s">
        <v>431</v>
      </c>
      <c r="C49" s="284"/>
      <c r="D49" s="284"/>
      <c r="E49" s="284"/>
      <c r="F49" s="284"/>
      <c r="G49" s="284"/>
      <c r="H49" s="284"/>
      <c r="I49" s="284"/>
      <c r="J49" s="284"/>
      <c r="K49" s="284"/>
      <c r="L49" s="108">
        <f>'CO4'!L57</f>
        <v>0</v>
      </c>
    </row>
    <row r="50" spans="1:12" ht="38.25" hidden="1" customHeight="1" outlineLevel="2">
      <c r="A50" s="369"/>
      <c r="B50" s="296" t="s">
        <v>470</v>
      </c>
      <c r="C50" s="296"/>
      <c r="D50" s="296"/>
      <c r="E50" s="296" t="s">
        <v>412</v>
      </c>
      <c r="F50" s="296"/>
      <c r="G50" s="191" t="s">
        <v>424</v>
      </c>
      <c r="H50" s="296" t="s">
        <v>414</v>
      </c>
      <c r="I50" s="296"/>
      <c r="J50" s="296"/>
      <c r="K50" s="191" t="s">
        <v>415</v>
      </c>
      <c r="L50" s="84" t="s">
        <v>109</v>
      </c>
    </row>
    <row r="51" spans="1:12" hidden="1" outlineLevel="2">
      <c r="A51" s="369"/>
      <c r="B51" s="297"/>
      <c r="C51" s="297"/>
      <c r="D51" s="297"/>
      <c r="E51" s="297"/>
      <c r="F51" s="297"/>
      <c r="G51" s="112"/>
      <c r="H51" s="387"/>
      <c r="I51" s="387"/>
      <c r="J51" s="387"/>
      <c r="K51" s="107">
        <f>E51-B51</f>
        <v>0</v>
      </c>
      <c r="L51" s="388"/>
    </row>
    <row r="52" spans="1:12" hidden="1" outlineLevel="2">
      <c r="A52" s="369"/>
      <c r="B52" s="297"/>
      <c r="C52" s="297"/>
      <c r="D52" s="297"/>
      <c r="E52" s="297"/>
      <c r="F52" s="297"/>
      <c r="G52" s="112"/>
      <c r="H52" s="389"/>
      <c r="I52" s="389"/>
      <c r="J52" s="389"/>
      <c r="K52" s="107">
        <f>E52-B52</f>
        <v>0</v>
      </c>
      <c r="L52" s="388"/>
    </row>
    <row r="53" spans="1:12" hidden="1" outlineLevel="2">
      <c r="A53" s="369"/>
      <c r="B53" s="297"/>
      <c r="C53" s="297"/>
      <c r="D53" s="297"/>
      <c r="E53" s="297"/>
      <c r="F53" s="297"/>
      <c r="G53" s="33"/>
      <c r="H53" s="387"/>
      <c r="I53" s="387"/>
      <c r="J53" s="387"/>
      <c r="K53" s="107">
        <f>E53-B53</f>
        <v>0</v>
      </c>
      <c r="L53" s="388"/>
    </row>
    <row r="54" spans="1:12" hidden="1" outlineLevel="2">
      <c r="A54" s="369"/>
      <c r="B54" s="297"/>
      <c r="C54" s="297"/>
      <c r="D54" s="297"/>
      <c r="E54" s="297"/>
      <c r="F54" s="297"/>
      <c r="G54" s="33"/>
      <c r="H54" s="390"/>
      <c r="I54" s="390"/>
      <c r="J54" s="390"/>
      <c r="K54" s="107">
        <f>E54-B54</f>
        <v>0</v>
      </c>
      <c r="L54" s="388"/>
    </row>
    <row r="55" spans="1:12" hidden="1" outlineLevel="2">
      <c r="A55" s="369"/>
      <c r="B55" s="376" t="s">
        <v>425</v>
      </c>
      <c r="C55" s="376"/>
      <c r="D55" s="376"/>
      <c r="E55" s="377"/>
      <c r="F55" s="377"/>
      <c r="G55" s="377"/>
      <c r="H55" s="377"/>
      <c r="I55" s="377"/>
      <c r="J55" s="377"/>
      <c r="K55" s="377"/>
      <c r="L55" s="388"/>
    </row>
    <row r="56" spans="1:12" hidden="1" outlineLevel="1" collapsed="1">
      <c r="A56" s="371"/>
      <c r="B56" s="284" t="s">
        <v>432</v>
      </c>
      <c r="C56" s="284"/>
      <c r="D56" s="284"/>
      <c r="E56" s="284"/>
      <c r="F56" s="284"/>
      <c r="G56" s="284"/>
      <c r="H56" s="284"/>
      <c r="I56" s="284"/>
      <c r="J56" s="284"/>
      <c r="K56" s="284"/>
      <c r="L56" s="108">
        <f>SUM(K51:K54)</f>
        <v>0</v>
      </c>
    </row>
    <row r="57" spans="1:12" hidden="1" outlineLevel="1">
      <c r="A57" s="195"/>
      <c r="B57" s="284" t="s">
        <v>433</v>
      </c>
      <c r="C57" s="284"/>
      <c r="D57" s="284"/>
      <c r="E57" s="284"/>
      <c r="F57" s="284"/>
      <c r="G57" s="284"/>
      <c r="H57" s="284"/>
      <c r="I57" s="284"/>
      <c r="J57" s="284"/>
      <c r="K57" s="284"/>
      <c r="L57" s="108">
        <f>L49+L56</f>
        <v>0</v>
      </c>
    </row>
    <row r="58" spans="1:12" hidden="1" outlineLevel="1" collapsed="1">
      <c r="A58" s="295" t="s">
        <v>139</v>
      </c>
      <c r="B58" s="295"/>
      <c r="C58" s="295"/>
      <c r="D58" s="295"/>
      <c r="E58" s="295"/>
      <c r="F58" s="295"/>
      <c r="G58" s="295"/>
      <c r="H58" s="295"/>
      <c r="I58" s="295"/>
      <c r="J58" s="295"/>
      <c r="K58" s="295"/>
      <c r="L58" s="295"/>
    </row>
    <row r="59" spans="1:12" hidden="1" outlineLevel="2">
      <c r="A59" s="285" t="s">
        <v>103</v>
      </c>
      <c r="B59" s="284" t="s">
        <v>434</v>
      </c>
      <c r="C59" s="284"/>
      <c r="D59" s="284"/>
      <c r="E59" s="284"/>
      <c r="F59" s="284"/>
      <c r="G59" s="284"/>
      <c r="H59" s="284"/>
      <c r="I59" s="284"/>
      <c r="J59" s="284"/>
      <c r="K59" s="284"/>
      <c r="L59" s="108">
        <f>'CO4'!L68</f>
        <v>0</v>
      </c>
    </row>
    <row r="60" spans="1:12" ht="38.25" hidden="1" customHeight="1" outlineLevel="2">
      <c r="A60" s="287"/>
      <c r="B60" s="296" t="s">
        <v>470</v>
      </c>
      <c r="C60" s="296"/>
      <c r="D60" s="296"/>
      <c r="E60" s="296" t="s">
        <v>412</v>
      </c>
      <c r="F60" s="296"/>
      <c r="G60" s="191" t="s">
        <v>424</v>
      </c>
      <c r="H60" s="296" t="s">
        <v>414</v>
      </c>
      <c r="I60" s="296"/>
      <c r="J60" s="296"/>
      <c r="K60" s="191" t="s">
        <v>415</v>
      </c>
      <c r="L60" s="84" t="s">
        <v>109</v>
      </c>
    </row>
    <row r="61" spans="1:12" hidden="1" outlineLevel="2">
      <c r="A61" s="287"/>
      <c r="B61" s="297"/>
      <c r="C61" s="297"/>
      <c r="D61" s="297"/>
      <c r="E61" s="297"/>
      <c r="F61" s="297"/>
      <c r="G61" s="189"/>
      <c r="H61" s="294"/>
      <c r="I61" s="294"/>
      <c r="J61" s="294"/>
      <c r="K61" s="107">
        <f>E61-B61</f>
        <v>0</v>
      </c>
      <c r="L61" s="392"/>
    </row>
    <row r="62" spans="1:12" hidden="1" outlineLevel="2">
      <c r="A62" s="287"/>
      <c r="B62" s="297"/>
      <c r="C62" s="297"/>
      <c r="D62" s="297"/>
      <c r="E62" s="297"/>
      <c r="F62" s="297"/>
      <c r="G62" s="189"/>
      <c r="H62" s="391"/>
      <c r="I62" s="391"/>
      <c r="J62" s="391"/>
      <c r="K62" s="107">
        <f>E62-B62</f>
        <v>0</v>
      </c>
      <c r="L62" s="392"/>
    </row>
    <row r="63" spans="1:12" hidden="1" outlineLevel="2">
      <c r="A63" s="287"/>
      <c r="B63" s="297"/>
      <c r="C63" s="297"/>
      <c r="D63" s="297"/>
      <c r="E63" s="297"/>
      <c r="F63" s="297"/>
      <c r="G63" s="189"/>
      <c r="H63" s="391"/>
      <c r="I63" s="391"/>
      <c r="J63" s="391"/>
      <c r="K63" s="107">
        <f>E63-B63</f>
        <v>0</v>
      </c>
      <c r="L63" s="392"/>
    </row>
    <row r="64" spans="1:12" hidden="1" outlineLevel="2">
      <c r="A64" s="287"/>
      <c r="B64" s="297"/>
      <c r="C64" s="297"/>
      <c r="D64" s="297"/>
      <c r="E64" s="297"/>
      <c r="F64" s="297"/>
      <c r="G64" s="189"/>
      <c r="H64" s="391"/>
      <c r="I64" s="391"/>
      <c r="J64" s="391"/>
      <c r="K64" s="107">
        <f>E64-B64</f>
        <v>0</v>
      </c>
      <c r="L64" s="392"/>
    </row>
    <row r="65" spans="1:12" hidden="1" outlineLevel="2">
      <c r="A65" s="287"/>
      <c r="B65" s="297"/>
      <c r="C65" s="297"/>
      <c r="D65" s="297"/>
      <c r="E65" s="297"/>
      <c r="F65" s="297"/>
      <c r="G65" s="189"/>
      <c r="H65" s="294"/>
      <c r="I65" s="294"/>
      <c r="J65" s="294"/>
      <c r="K65" s="107">
        <f>E65-B65</f>
        <v>0</v>
      </c>
      <c r="L65" s="392"/>
    </row>
    <row r="66" spans="1:12" hidden="1" outlineLevel="2">
      <c r="A66" s="287"/>
      <c r="B66" s="376" t="s">
        <v>425</v>
      </c>
      <c r="C66" s="376"/>
      <c r="D66" s="376"/>
      <c r="E66" s="377"/>
      <c r="F66" s="377"/>
      <c r="G66" s="377"/>
      <c r="H66" s="377"/>
      <c r="I66" s="377"/>
      <c r="J66" s="377"/>
      <c r="K66" s="377"/>
      <c r="L66" s="392"/>
    </row>
    <row r="67" spans="1:12" hidden="1" outlineLevel="1" collapsed="1">
      <c r="A67" s="289"/>
      <c r="B67" s="284" t="s">
        <v>435</v>
      </c>
      <c r="C67" s="284"/>
      <c r="D67" s="284"/>
      <c r="E67" s="284"/>
      <c r="F67" s="284"/>
      <c r="G67" s="284"/>
      <c r="H67" s="284"/>
      <c r="I67" s="284"/>
      <c r="J67" s="284"/>
      <c r="K67" s="284"/>
      <c r="L67" s="108">
        <f>SUM(K61:K65)</f>
        <v>0</v>
      </c>
    </row>
    <row r="68" spans="1:12" hidden="1" outlineLevel="1">
      <c r="A68" s="196"/>
      <c r="B68" s="284" t="s">
        <v>436</v>
      </c>
      <c r="C68" s="284"/>
      <c r="D68" s="284"/>
      <c r="E68" s="284"/>
      <c r="F68" s="284"/>
      <c r="G68" s="284"/>
      <c r="H68" s="284"/>
      <c r="I68" s="284"/>
      <c r="J68" s="284"/>
      <c r="K68" s="284"/>
      <c r="L68" s="108">
        <f>L59+L67</f>
        <v>0</v>
      </c>
    </row>
    <row r="69" spans="1:12" hidden="1" outlineLevel="1" collapsed="1">
      <c r="A69" s="295" t="s">
        <v>152</v>
      </c>
      <c r="B69" s="295"/>
      <c r="C69" s="295"/>
      <c r="D69" s="295"/>
      <c r="E69" s="295"/>
      <c r="F69" s="295"/>
      <c r="G69" s="295"/>
      <c r="H69" s="295"/>
      <c r="I69" s="295"/>
      <c r="J69" s="295"/>
      <c r="K69" s="295"/>
      <c r="L69" s="295"/>
    </row>
    <row r="70" spans="1:12" hidden="1" outlineLevel="2">
      <c r="A70" s="285" t="s">
        <v>103</v>
      </c>
      <c r="B70" s="284" t="s">
        <v>437</v>
      </c>
      <c r="C70" s="284"/>
      <c r="D70" s="284"/>
      <c r="E70" s="284"/>
      <c r="F70" s="284"/>
      <c r="G70" s="284"/>
      <c r="H70" s="284"/>
      <c r="I70" s="284"/>
      <c r="J70" s="284"/>
      <c r="K70" s="284"/>
      <c r="L70" s="108">
        <f>'CO4'!L76</f>
        <v>0</v>
      </c>
    </row>
    <row r="71" spans="1:12" ht="38.25" hidden="1" customHeight="1" outlineLevel="2">
      <c r="A71" s="287"/>
      <c r="B71" s="296" t="s">
        <v>470</v>
      </c>
      <c r="C71" s="296"/>
      <c r="D71" s="296"/>
      <c r="E71" s="296" t="s">
        <v>412</v>
      </c>
      <c r="F71" s="296"/>
      <c r="G71" s="191" t="s">
        <v>424</v>
      </c>
      <c r="H71" s="296" t="s">
        <v>414</v>
      </c>
      <c r="I71" s="296"/>
      <c r="J71" s="296"/>
      <c r="K71" s="191" t="s">
        <v>415</v>
      </c>
      <c r="L71" s="191" t="s">
        <v>109</v>
      </c>
    </row>
    <row r="72" spans="1:12" hidden="1" outlineLevel="2">
      <c r="A72" s="287"/>
      <c r="B72" s="297"/>
      <c r="C72" s="297"/>
      <c r="D72" s="297"/>
      <c r="E72" s="297"/>
      <c r="F72" s="297"/>
      <c r="G72" s="189"/>
      <c r="H72" s="294"/>
      <c r="I72" s="294"/>
      <c r="J72" s="294"/>
      <c r="K72" s="107">
        <f>E72-B72</f>
        <v>0</v>
      </c>
      <c r="L72" s="298"/>
    </row>
    <row r="73" spans="1:12" hidden="1" outlineLevel="2">
      <c r="A73" s="287"/>
      <c r="B73" s="297"/>
      <c r="C73" s="297"/>
      <c r="D73" s="297"/>
      <c r="E73" s="297"/>
      <c r="F73" s="297"/>
      <c r="G73" s="189"/>
      <c r="H73" s="294"/>
      <c r="I73" s="294"/>
      <c r="J73" s="294"/>
      <c r="K73" s="107">
        <f>E73-B73</f>
        <v>0</v>
      </c>
      <c r="L73" s="298"/>
    </row>
    <row r="74" spans="1:12" hidden="1" outlineLevel="2">
      <c r="A74" s="287"/>
      <c r="B74" s="297"/>
      <c r="C74" s="297"/>
      <c r="D74" s="297"/>
      <c r="E74" s="297"/>
      <c r="F74" s="297"/>
      <c r="G74" s="189"/>
      <c r="H74" s="294"/>
      <c r="I74" s="294"/>
      <c r="J74" s="294"/>
      <c r="K74" s="107">
        <f>E74-B74</f>
        <v>0</v>
      </c>
      <c r="L74" s="298"/>
    </row>
    <row r="75" spans="1:12" hidden="1" outlineLevel="1" collapsed="1">
      <c r="A75" s="289"/>
      <c r="B75" s="284" t="s">
        <v>438</v>
      </c>
      <c r="C75" s="284"/>
      <c r="D75" s="284"/>
      <c r="E75" s="284"/>
      <c r="F75" s="284"/>
      <c r="G75" s="284"/>
      <c r="H75" s="284"/>
      <c r="I75" s="284"/>
      <c r="J75" s="284"/>
      <c r="K75" s="284"/>
      <c r="L75" s="108">
        <f>SUM(K72:K74)</f>
        <v>0</v>
      </c>
    </row>
    <row r="76" spans="1:12" hidden="1" outlineLevel="1">
      <c r="A76" s="196"/>
      <c r="B76" s="284" t="s">
        <v>439</v>
      </c>
      <c r="C76" s="284"/>
      <c r="D76" s="284"/>
      <c r="E76" s="284"/>
      <c r="F76" s="284"/>
      <c r="G76" s="284"/>
      <c r="H76" s="284"/>
      <c r="I76" s="284"/>
      <c r="J76" s="284"/>
      <c r="K76" s="284"/>
      <c r="L76" s="108">
        <f>L70+L75</f>
        <v>0</v>
      </c>
    </row>
    <row r="77" spans="1:12" hidden="1" outlineLevel="1" collapsed="1">
      <c r="A77" s="295" t="s">
        <v>440</v>
      </c>
      <c r="B77" s="295"/>
      <c r="C77" s="295"/>
      <c r="D77" s="295"/>
      <c r="E77" s="295"/>
      <c r="F77" s="295"/>
      <c r="G77" s="295"/>
      <c r="H77" s="295"/>
      <c r="I77" s="295"/>
      <c r="J77" s="295"/>
      <c r="K77" s="295"/>
      <c r="L77" s="295"/>
    </row>
    <row r="78" spans="1:12" hidden="1" outlineLevel="2">
      <c r="A78" s="285" t="s">
        <v>103</v>
      </c>
      <c r="B78" s="284" t="s">
        <v>441</v>
      </c>
      <c r="C78" s="284"/>
      <c r="D78" s="284"/>
      <c r="E78" s="284"/>
      <c r="F78" s="284"/>
      <c r="G78" s="284"/>
      <c r="H78" s="284"/>
      <c r="I78" s="284"/>
      <c r="J78" s="284"/>
      <c r="K78" s="284"/>
      <c r="L78" s="108">
        <f>'CO4'!L84</f>
        <v>0</v>
      </c>
    </row>
    <row r="79" spans="1:12" ht="38.25" hidden="1" customHeight="1" outlineLevel="2">
      <c r="A79" s="287"/>
      <c r="B79" s="296" t="s">
        <v>470</v>
      </c>
      <c r="C79" s="296"/>
      <c r="D79" s="296"/>
      <c r="E79" s="296" t="s">
        <v>412</v>
      </c>
      <c r="F79" s="296"/>
      <c r="G79" s="191" t="s">
        <v>424</v>
      </c>
      <c r="H79" s="296" t="s">
        <v>414</v>
      </c>
      <c r="I79" s="296"/>
      <c r="J79" s="296"/>
      <c r="K79" s="191" t="s">
        <v>415</v>
      </c>
      <c r="L79" s="191" t="s">
        <v>109</v>
      </c>
    </row>
    <row r="80" spans="1:12" hidden="1" outlineLevel="2">
      <c r="A80" s="287"/>
      <c r="B80" s="356"/>
      <c r="C80" s="356"/>
      <c r="D80" s="356"/>
      <c r="E80" s="356"/>
      <c r="F80" s="356"/>
      <c r="G80" s="189"/>
      <c r="H80" s="391"/>
      <c r="I80" s="391"/>
      <c r="J80" s="391"/>
      <c r="K80" s="107">
        <f>E80-B80</f>
        <v>0</v>
      </c>
      <c r="L80" s="298"/>
    </row>
    <row r="81" spans="1:12" hidden="1" outlineLevel="2">
      <c r="A81" s="287"/>
      <c r="B81" s="356"/>
      <c r="C81" s="356"/>
      <c r="D81" s="356"/>
      <c r="E81" s="356"/>
      <c r="F81" s="356"/>
      <c r="G81" s="189"/>
      <c r="H81" s="391"/>
      <c r="I81" s="391"/>
      <c r="J81" s="391"/>
      <c r="K81" s="107">
        <f>E81-B81</f>
        <v>0</v>
      </c>
      <c r="L81" s="298"/>
    </row>
    <row r="82" spans="1:12" hidden="1" outlineLevel="2">
      <c r="A82" s="287"/>
      <c r="B82" s="356"/>
      <c r="C82" s="356"/>
      <c r="D82" s="356"/>
      <c r="E82" s="356"/>
      <c r="F82" s="356"/>
      <c r="G82" s="189"/>
      <c r="H82" s="294"/>
      <c r="I82" s="294"/>
      <c r="J82" s="294"/>
      <c r="K82" s="107">
        <f>E82-B82</f>
        <v>0</v>
      </c>
      <c r="L82" s="298"/>
    </row>
    <row r="83" spans="1:12" hidden="1" outlineLevel="1" collapsed="1">
      <c r="A83" s="289"/>
      <c r="B83" s="284" t="s">
        <v>442</v>
      </c>
      <c r="C83" s="284"/>
      <c r="D83" s="284"/>
      <c r="E83" s="284"/>
      <c r="F83" s="284"/>
      <c r="G83" s="284"/>
      <c r="H83" s="284"/>
      <c r="I83" s="284"/>
      <c r="J83" s="284"/>
      <c r="K83" s="284"/>
      <c r="L83" s="108">
        <f>SUM(K80:K82)</f>
        <v>0</v>
      </c>
    </row>
    <row r="84" spans="1:12" hidden="1" outlineLevel="1">
      <c r="A84" s="194"/>
      <c r="B84" s="284" t="s">
        <v>443</v>
      </c>
      <c r="C84" s="284"/>
      <c r="D84" s="284"/>
      <c r="E84" s="284"/>
      <c r="F84" s="284"/>
      <c r="G84" s="284"/>
      <c r="H84" s="284"/>
      <c r="I84" s="284"/>
      <c r="J84" s="284"/>
      <c r="K84" s="284"/>
      <c r="L84" s="108">
        <f>L78+L83</f>
        <v>0</v>
      </c>
    </row>
    <row r="85" spans="1:12" hidden="1" outlineLevel="1" collapsed="1">
      <c r="A85" s="295" t="s">
        <v>444</v>
      </c>
      <c r="B85" s="295"/>
      <c r="C85" s="295"/>
      <c r="D85" s="295"/>
      <c r="E85" s="295"/>
      <c r="F85" s="295"/>
      <c r="G85" s="295"/>
      <c r="H85" s="295"/>
      <c r="I85" s="295"/>
      <c r="J85" s="295"/>
      <c r="K85" s="295"/>
      <c r="L85" s="295"/>
    </row>
    <row r="86" spans="1:12" hidden="1" outlineLevel="2">
      <c r="A86" s="285" t="s">
        <v>103</v>
      </c>
      <c r="B86" s="284" t="s">
        <v>445</v>
      </c>
      <c r="C86" s="284"/>
      <c r="D86" s="284"/>
      <c r="E86" s="284"/>
      <c r="F86" s="284"/>
      <c r="G86" s="284"/>
      <c r="H86" s="284"/>
      <c r="I86" s="284"/>
      <c r="J86" s="284"/>
      <c r="K86" s="284"/>
      <c r="L86" s="108">
        <f>'CO4'!L92</f>
        <v>0</v>
      </c>
    </row>
    <row r="87" spans="1:12" ht="38.25" hidden="1" customHeight="1" outlineLevel="2">
      <c r="A87" s="287"/>
      <c r="B87" s="296" t="s">
        <v>470</v>
      </c>
      <c r="C87" s="296"/>
      <c r="D87" s="296"/>
      <c r="E87" s="296" t="s">
        <v>412</v>
      </c>
      <c r="F87" s="296"/>
      <c r="G87" s="191" t="s">
        <v>413</v>
      </c>
      <c r="H87" s="296" t="s">
        <v>414</v>
      </c>
      <c r="I87" s="296"/>
      <c r="J87" s="296"/>
      <c r="K87" s="191" t="s">
        <v>415</v>
      </c>
      <c r="L87" s="191" t="s">
        <v>109</v>
      </c>
    </row>
    <row r="88" spans="1:12" hidden="1" outlineLevel="2">
      <c r="A88" s="287"/>
      <c r="B88" s="297"/>
      <c r="C88" s="297"/>
      <c r="D88" s="297"/>
      <c r="E88" s="297"/>
      <c r="F88" s="297"/>
      <c r="G88" s="189"/>
      <c r="H88" s="294"/>
      <c r="I88" s="294"/>
      <c r="J88" s="294"/>
      <c r="K88" s="107">
        <f>E88-B88</f>
        <v>0</v>
      </c>
      <c r="L88" s="298"/>
    </row>
    <row r="89" spans="1:12" hidden="1" outlineLevel="2">
      <c r="A89" s="287"/>
      <c r="B89" s="297"/>
      <c r="C89" s="297"/>
      <c r="D89" s="297"/>
      <c r="E89" s="297"/>
      <c r="F89" s="297"/>
      <c r="G89" s="189"/>
      <c r="H89" s="391"/>
      <c r="I89" s="391"/>
      <c r="J89" s="391"/>
      <c r="K89" s="107">
        <f>E89-B89</f>
        <v>0</v>
      </c>
      <c r="L89" s="298"/>
    </row>
    <row r="90" spans="1:12" hidden="1" outlineLevel="2">
      <c r="A90" s="287"/>
      <c r="B90" s="393"/>
      <c r="C90" s="393"/>
      <c r="D90" s="393"/>
      <c r="E90" s="393"/>
      <c r="F90" s="393"/>
      <c r="G90" s="189"/>
      <c r="H90" s="294"/>
      <c r="I90" s="294"/>
      <c r="J90" s="294"/>
      <c r="K90" s="107">
        <f>E90-B90</f>
        <v>0</v>
      </c>
      <c r="L90" s="298"/>
    </row>
    <row r="91" spans="1:12" hidden="1" outlineLevel="1" collapsed="1">
      <c r="A91" s="289"/>
      <c r="B91" s="284" t="s">
        <v>446</v>
      </c>
      <c r="C91" s="284"/>
      <c r="D91" s="284"/>
      <c r="E91" s="284"/>
      <c r="F91" s="284"/>
      <c r="G91" s="284"/>
      <c r="H91" s="284"/>
      <c r="I91" s="284"/>
      <c r="J91" s="284"/>
      <c r="K91" s="284"/>
      <c r="L91" s="108">
        <f>SUM(K88:K90)</f>
        <v>0</v>
      </c>
    </row>
    <row r="92" spans="1:12" hidden="1" outlineLevel="1">
      <c r="A92" s="193"/>
      <c r="B92" s="284" t="s">
        <v>447</v>
      </c>
      <c r="C92" s="284"/>
      <c r="D92" s="284"/>
      <c r="E92" s="284"/>
      <c r="F92" s="284"/>
      <c r="G92" s="284"/>
      <c r="H92" s="284"/>
      <c r="I92" s="284"/>
      <c r="J92" s="284"/>
      <c r="K92" s="284"/>
      <c r="L92" s="108">
        <f>L86+L91</f>
        <v>0</v>
      </c>
    </row>
    <row r="93" spans="1:12" hidden="1" outlineLevel="1" collapsed="1">
      <c r="A93" s="295" t="s">
        <v>167</v>
      </c>
      <c r="B93" s="295"/>
      <c r="C93" s="295"/>
      <c r="D93" s="295"/>
      <c r="E93" s="295"/>
      <c r="F93" s="295"/>
      <c r="G93" s="295"/>
      <c r="H93" s="295"/>
      <c r="I93" s="295"/>
      <c r="J93" s="295"/>
      <c r="K93" s="295"/>
      <c r="L93" s="295"/>
    </row>
    <row r="94" spans="1:12" hidden="1" outlineLevel="2">
      <c r="A94" s="285" t="s">
        <v>103</v>
      </c>
      <c r="B94" s="284" t="s">
        <v>448</v>
      </c>
      <c r="C94" s="284"/>
      <c r="D94" s="284"/>
      <c r="E94" s="284"/>
      <c r="F94" s="284"/>
      <c r="G94" s="284"/>
      <c r="H94" s="284"/>
      <c r="I94" s="284"/>
      <c r="J94" s="284"/>
      <c r="K94" s="284"/>
      <c r="L94" s="110">
        <f>'CO4'!L101</f>
        <v>0</v>
      </c>
    </row>
    <row r="95" spans="1:12" ht="38.25" hidden="1" customHeight="1" outlineLevel="2">
      <c r="A95" s="287"/>
      <c r="B95" s="296" t="s">
        <v>470</v>
      </c>
      <c r="C95" s="296"/>
      <c r="D95" s="296"/>
      <c r="E95" s="296" t="s">
        <v>412</v>
      </c>
      <c r="F95" s="296"/>
      <c r="G95" s="191" t="s">
        <v>424</v>
      </c>
      <c r="H95" s="296" t="s">
        <v>414</v>
      </c>
      <c r="I95" s="296"/>
      <c r="J95" s="296"/>
      <c r="K95" s="191" t="s">
        <v>415</v>
      </c>
      <c r="L95" s="191" t="s">
        <v>109</v>
      </c>
    </row>
    <row r="96" spans="1:12" hidden="1" outlineLevel="2">
      <c r="A96" s="287"/>
      <c r="B96" s="297"/>
      <c r="C96" s="297"/>
      <c r="D96" s="297"/>
      <c r="E96" s="297"/>
      <c r="F96" s="297"/>
      <c r="G96" s="189"/>
      <c r="H96" s="294"/>
      <c r="I96" s="294"/>
      <c r="J96" s="294"/>
      <c r="K96" s="107">
        <f>E96-B96</f>
        <v>0</v>
      </c>
      <c r="L96" s="394"/>
    </row>
    <row r="97" spans="1:12" hidden="1" outlineLevel="2">
      <c r="A97" s="287"/>
      <c r="B97" s="297"/>
      <c r="C97" s="297"/>
      <c r="D97" s="297"/>
      <c r="E97" s="297"/>
      <c r="F97" s="297"/>
      <c r="G97" s="189"/>
      <c r="H97" s="391"/>
      <c r="I97" s="391"/>
      <c r="J97" s="391"/>
      <c r="K97" s="107">
        <f>E97-B97</f>
        <v>0</v>
      </c>
      <c r="L97" s="394"/>
    </row>
    <row r="98" spans="1:12" hidden="1" outlineLevel="2">
      <c r="A98" s="287"/>
      <c r="B98" s="297"/>
      <c r="C98" s="297"/>
      <c r="D98" s="297"/>
      <c r="E98" s="297"/>
      <c r="F98" s="297"/>
      <c r="G98" s="189"/>
      <c r="H98" s="294"/>
      <c r="I98" s="294"/>
      <c r="J98" s="294"/>
      <c r="K98" s="107">
        <f>E98-B98</f>
        <v>0</v>
      </c>
      <c r="L98" s="394"/>
    </row>
    <row r="99" spans="1:12" hidden="1" outlineLevel="2">
      <c r="A99" s="287"/>
      <c r="B99" s="376" t="s">
        <v>425</v>
      </c>
      <c r="C99" s="376"/>
      <c r="D99" s="376"/>
      <c r="E99" s="377"/>
      <c r="F99" s="377"/>
      <c r="G99" s="377"/>
      <c r="H99" s="377"/>
      <c r="I99" s="377"/>
      <c r="J99" s="377"/>
      <c r="K99" s="377"/>
      <c r="L99" s="394"/>
    </row>
    <row r="100" spans="1:12" hidden="1" outlineLevel="1" collapsed="1">
      <c r="A100" s="289"/>
      <c r="B100" s="284" t="s">
        <v>449</v>
      </c>
      <c r="C100" s="284"/>
      <c r="D100" s="284"/>
      <c r="E100" s="284"/>
      <c r="F100" s="284"/>
      <c r="G100" s="284"/>
      <c r="H100" s="284"/>
      <c r="I100" s="284"/>
      <c r="J100" s="284"/>
      <c r="K100" s="284"/>
      <c r="L100" s="110">
        <f>SUM(K96:K98)</f>
        <v>0</v>
      </c>
    </row>
    <row r="101" spans="1:12" hidden="1" outlineLevel="1">
      <c r="A101" s="194"/>
      <c r="B101" s="284" t="s">
        <v>450</v>
      </c>
      <c r="C101" s="284"/>
      <c r="D101" s="284"/>
      <c r="E101" s="284"/>
      <c r="F101" s="284"/>
      <c r="G101" s="284"/>
      <c r="H101" s="284"/>
      <c r="I101" s="284"/>
      <c r="J101" s="284"/>
      <c r="K101" s="284"/>
      <c r="L101" s="110">
        <f>L94+L100</f>
        <v>0</v>
      </c>
    </row>
    <row r="102" spans="1:12" hidden="1" outlineLevel="1" collapsed="1">
      <c r="A102" s="295" t="s">
        <v>451</v>
      </c>
      <c r="B102" s="295"/>
      <c r="C102" s="295"/>
      <c r="D102" s="295"/>
      <c r="E102" s="295"/>
      <c r="F102" s="295"/>
      <c r="G102" s="295"/>
      <c r="H102" s="295"/>
      <c r="I102" s="295"/>
      <c r="J102" s="295"/>
      <c r="K102" s="295"/>
      <c r="L102" s="295"/>
    </row>
    <row r="103" spans="1:12" hidden="1" outlineLevel="2">
      <c r="A103" s="285" t="s">
        <v>103</v>
      </c>
      <c r="B103" s="284" t="s">
        <v>452</v>
      </c>
      <c r="C103" s="284"/>
      <c r="D103" s="284"/>
      <c r="E103" s="284"/>
      <c r="F103" s="284"/>
      <c r="G103" s="284"/>
      <c r="H103" s="284"/>
      <c r="I103" s="284"/>
      <c r="J103" s="284"/>
      <c r="K103" s="284"/>
      <c r="L103" s="110">
        <f>'CO4'!L110</f>
        <v>0</v>
      </c>
    </row>
    <row r="104" spans="1:12" ht="38.25" hidden="1" customHeight="1" outlineLevel="2">
      <c r="A104" s="287"/>
      <c r="B104" s="296" t="s">
        <v>470</v>
      </c>
      <c r="C104" s="296"/>
      <c r="D104" s="296"/>
      <c r="E104" s="296" t="s">
        <v>412</v>
      </c>
      <c r="F104" s="296"/>
      <c r="G104" s="191" t="s">
        <v>413</v>
      </c>
      <c r="H104" s="296" t="s">
        <v>414</v>
      </c>
      <c r="I104" s="296"/>
      <c r="J104" s="296"/>
      <c r="K104" s="191" t="s">
        <v>415</v>
      </c>
      <c r="L104" s="191" t="s">
        <v>109</v>
      </c>
    </row>
    <row r="105" spans="1:12" ht="12.75" hidden="1" customHeight="1" outlineLevel="2">
      <c r="A105" s="287"/>
      <c r="B105" s="425"/>
      <c r="C105" s="426"/>
      <c r="D105" s="427"/>
      <c r="E105" s="297"/>
      <c r="F105" s="297"/>
      <c r="G105" s="75"/>
      <c r="H105" s="395"/>
      <c r="I105" s="395"/>
      <c r="J105" s="395"/>
      <c r="K105" s="107">
        <f>E105-B105</f>
        <v>0</v>
      </c>
      <c r="L105" s="76"/>
    </row>
    <row r="106" spans="1:12" hidden="1" outlineLevel="2">
      <c r="A106" s="287"/>
      <c r="B106" s="297"/>
      <c r="C106" s="297"/>
      <c r="D106" s="297"/>
      <c r="E106" s="297"/>
      <c r="F106" s="297"/>
      <c r="G106" s="75"/>
      <c r="H106" s="395"/>
      <c r="I106" s="395"/>
      <c r="J106" s="395"/>
      <c r="K106" s="107">
        <f>E106-B106</f>
        <v>0</v>
      </c>
      <c r="L106" s="76"/>
    </row>
    <row r="107" spans="1:12" hidden="1" outlineLevel="2">
      <c r="A107" s="287"/>
      <c r="B107" s="297"/>
      <c r="C107" s="297"/>
      <c r="D107" s="297"/>
      <c r="E107" s="297"/>
      <c r="F107" s="297"/>
      <c r="G107" s="75"/>
      <c r="H107" s="395"/>
      <c r="I107" s="395"/>
      <c r="J107" s="395"/>
      <c r="K107" s="107">
        <f>E107-B107</f>
        <v>0</v>
      </c>
      <c r="L107" s="76"/>
    </row>
    <row r="108" spans="1:12" hidden="1" outlineLevel="2">
      <c r="A108" s="287"/>
      <c r="B108" s="297"/>
      <c r="C108" s="297"/>
      <c r="D108" s="297"/>
      <c r="E108" s="297"/>
      <c r="F108" s="297"/>
      <c r="G108" s="189"/>
      <c r="H108" s="294"/>
      <c r="I108" s="294"/>
      <c r="J108" s="294"/>
      <c r="K108" s="107">
        <f>E108-B108</f>
        <v>0</v>
      </c>
      <c r="L108" s="76"/>
    </row>
    <row r="109" spans="1:12" hidden="1" outlineLevel="1" collapsed="1">
      <c r="A109" s="289"/>
      <c r="B109" s="284" t="s">
        <v>453</v>
      </c>
      <c r="C109" s="284"/>
      <c r="D109" s="284"/>
      <c r="E109" s="284"/>
      <c r="F109" s="284"/>
      <c r="G109" s="284"/>
      <c r="H109" s="284"/>
      <c r="I109" s="284"/>
      <c r="J109" s="284"/>
      <c r="K109" s="284"/>
      <c r="L109" s="110">
        <f>SUM(K105:K108)</f>
        <v>0</v>
      </c>
    </row>
    <row r="110" spans="1:12" hidden="1" outlineLevel="1">
      <c r="A110" s="194"/>
      <c r="B110" s="284" t="s">
        <v>454</v>
      </c>
      <c r="C110" s="284"/>
      <c r="D110" s="284"/>
      <c r="E110" s="284"/>
      <c r="F110" s="284"/>
      <c r="G110" s="284"/>
      <c r="H110" s="284"/>
      <c r="I110" s="284"/>
      <c r="J110" s="284"/>
      <c r="K110" s="284"/>
      <c r="L110" s="110">
        <f>L103+L109</f>
        <v>0</v>
      </c>
    </row>
    <row r="111" spans="1:12" hidden="1" outlineLevel="1" collapsed="1">
      <c r="A111" s="361" t="s">
        <v>178</v>
      </c>
      <c r="B111" s="361"/>
      <c r="C111" s="361"/>
      <c r="D111" s="361"/>
      <c r="E111" s="361"/>
      <c r="F111" s="361"/>
      <c r="G111" s="361"/>
      <c r="H111" s="361"/>
      <c r="I111" s="361"/>
      <c r="J111" s="361"/>
      <c r="K111" s="361"/>
      <c r="L111" s="361"/>
    </row>
    <row r="112" spans="1:12" hidden="1" outlineLevel="2">
      <c r="A112" s="285" t="s">
        <v>103</v>
      </c>
      <c r="B112" s="284" t="s">
        <v>455</v>
      </c>
      <c r="C112" s="284"/>
      <c r="D112" s="284"/>
      <c r="E112" s="284"/>
      <c r="F112" s="284"/>
      <c r="G112" s="284"/>
      <c r="H112" s="284"/>
      <c r="I112" s="284"/>
      <c r="J112" s="284"/>
      <c r="K112" s="284"/>
      <c r="L112" s="108">
        <f>'CO4'!L119</f>
        <v>0</v>
      </c>
    </row>
    <row r="113" spans="1:12" ht="38.25" hidden="1" customHeight="1" outlineLevel="2">
      <c r="A113" s="287"/>
      <c r="B113" s="296" t="s">
        <v>470</v>
      </c>
      <c r="C113" s="296"/>
      <c r="D113" s="296"/>
      <c r="E113" s="296" t="s">
        <v>412</v>
      </c>
      <c r="F113" s="296"/>
      <c r="G113" s="191" t="s">
        <v>424</v>
      </c>
      <c r="H113" s="296" t="s">
        <v>414</v>
      </c>
      <c r="I113" s="296"/>
      <c r="J113" s="296"/>
      <c r="K113" s="191" t="s">
        <v>415</v>
      </c>
      <c r="L113" s="191" t="s">
        <v>109</v>
      </c>
    </row>
    <row r="114" spans="1:12" hidden="1" outlineLevel="2">
      <c r="A114" s="287"/>
      <c r="B114" s="356"/>
      <c r="C114" s="356"/>
      <c r="D114" s="356"/>
      <c r="E114" s="356"/>
      <c r="F114" s="356"/>
      <c r="G114" s="189"/>
      <c r="H114" s="378"/>
      <c r="I114" s="378"/>
      <c r="J114" s="378"/>
      <c r="K114" s="107">
        <f>E114-B114</f>
        <v>0</v>
      </c>
      <c r="L114" s="399"/>
    </row>
    <row r="115" spans="1:12" hidden="1" outlineLevel="2">
      <c r="A115" s="287"/>
      <c r="B115" s="356"/>
      <c r="C115" s="356"/>
      <c r="D115" s="356"/>
      <c r="E115" s="356"/>
      <c r="F115" s="356"/>
      <c r="G115" s="189"/>
      <c r="H115" s="283"/>
      <c r="I115" s="283"/>
      <c r="J115" s="283"/>
      <c r="K115" s="107">
        <f>E115-B115</f>
        <v>0</v>
      </c>
      <c r="L115" s="399"/>
    </row>
    <row r="116" spans="1:12" hidden="1" outlineLevel="2">
      <c r="A116" s="287"/>
      <c r="B116" s="356"/>
      <c r="C116" s="356"/>
      <c r="D116" s="356"/>
      <c r="E116" s="356"/>
      <c r="F116" s="356"/>
      <c r="G116" s="189"/>
      <c r="H116" s="401"/>
      <c r="I116" s="401"/>
      <c r="J116" s="401"/>
      <c r="K116" s="107">
        <f>E116-B116</f>
        <v>0</v>
      </c>
      <c r="L116" s="399"/>
    </row>
    <row r="117" spans="1:12" hidden="1" outlineLevel="2">
      <c r="A117" s="287"/>
      <c r="B117" s="356"/>
      <c r="C117" s="356"/>
      <c r="D117" s="356"/>
      <c r="E117" s="356"/>
      <c r="F117" s="356"/>
      <c r="G117" s="189"/>
      <c r="H117" s="400"/>
      <c r="I117" s="400"/>
      <c r="J117" s="400"/>
      <c r="K117" s="107">
        <f>E117-B117</f>
        <v>0</v>
      </c>
      <c r="L117" s="399"/>
    </row>
    <row r="118" spans="1:12" hidden="1" outlineLevel="1" collapsed="1">
      <c r="A118" s="289"/>
      <c r="B118" s="284" t="s">
        <v>456</v>
      </c>
      <c r="C118" s="284"/>
      <c r="D118" s="284"/>
      <c r="E118" s="284"/>
      <c r="F118" s="284"/>
      <c r="G118" s="284"/>
      <c r="H118" s="284"/>
      <c r="I118" s="284"/>
      <c r="J118" s="284"/>
      <c r="K118" s="284"/>
      <c r="L118" s="108">
        <f>SUM(K114:K117)</f>
        <v>0</v>
      </c>
    </row>
    <row r="119" spans="1:12" hidden="1" outlineLevel="1">
      <c r="A119" s="194"/>
      <c r="B119" s="284" t="s">
        <v>457</v>
      </c>
      <c r="C119" s="284"/>
      <c r="D119" s="284"/>
      <c r="E119" s="284"/>
      <c r="F119" s="284"/>
      <c r="G119" s="284"/>
      <c r="H119" s="284"/>
      <c r="I119" s="284"/>
      <c r="J119" s="284"/>
      <c r="K119" s="284"/>
      <c r="L119" s="108">
        <f>L112+L118</f>
        <v>0</v>
      </c>
    </row>
    <row r="120" spans="1:12" hidden="1" outlineLevel="1" collapsed="1">
      <c r="A120" s="361" t="s">
        <v>458</v>
      </c>
      <c r="B120" s="361"/>
      <c r="C120" s="361"/>
      <c r="D120" s="361"/>
      <c r="E120" s="361"/>
      <c r="F120" s="361"/>
      <c r="G120" s="361"/>
      <c r="H120" s="361"/>
      <c r="I120" s="361"/>
      <c r="J120" s="361"/>
      <c r="K120" s="361"/>
      <c r="L120" s="361"/>
    </row>
    <row r="121" spans="1:12" hidden="1" outlineLevel="2">
      <c r="A121" s="285" t="s">
        <v>103</v>
      </c>
      <c r="B121" s="284" t="s">
        <v>459</v>
      </c>
      <c r="C121" s="284"/>
      <c r="D121" s="284"/>
      <c r="E121" s="284"/>
      <c r="F121" s="284"/>
      <c r="G121" s="192"/>
      <c r="H121" s="298"/>
      <c r="I121" s="298"/>
      <c r="J121" s="298"/>
      <c r="K121" s="192"/>
      <c r="L121" s="108">
        <f>'CO4'!L128</f>
        <v>0</v>
      </c>
    </row>
    <row r="122" spans="1:12" ht="38.25" hidden="1" customHeight="1" outlineLevel="2">
      <c r="A122" s="287"/>
      <c r="B122" s="296" t="s">
        <v>470</v>
      </c>
      <c r="C122" s="296"/>
      <c r="D122" s="296"/>
      <c r="E122" s="296" t="s">
        <v>412</v>
      </c>
      <c r="F122" s="296"/>
      <c r="G122" s="191" t="s">
        <v>413</v>
      </c>
      <c r="H122" s="296" t="s">
        <v>414</v>
      </c>
      <c r="I122" s="296"/>
      <c r="J122" s="296"/>
      <c r="K122" s="191" t="s">
        <v>415</v>
      </c>
      <c r="L122" s="191" t="s">
        <v>109</v>
      </c>
    </row>
    <row r="123" spans="1:12" hidden="1" outlineLevel="2">
      <c r="A123" s="287"/>
      <c r="B123" s="356"/>
      <c r="C123" s="356"/>
      <c r="D123" s="356"/>
      <c r="E123" s="356"/>
      <c r="F123" s="356"/>
      <c r="G123" s="189"/>
      <c r="H123" s="378"/>
      <c r="I123" s="378"/>
      <c r="J123" s="378"/>
      <c r="K123" s="107">
        <f>E123-B123</f>
        <v>0</v>
      </c>
      <c r="L123" s="298"/>
    </row>
    <row r="124" spans="1:12" hidden="1" outlineLevel="2">
      <c r="A124" s="287"/>
      <c r="B124" s="356"/>
      <c r="C124" s="356"/>
      <c r="D124" s="356"/>
      <c r="E124" s="356"/>
      <c r="F124" s="356"/>
      <c r="G124" s="189"/>
      <c r="H124" s="378"/>
      <c r="I124" s="378"/>
      <c r="J124" s="378"/>
      <c r="K124" s="107">
        <f>E124-B124</f>
        <v>0</v>
      </c>
      <c r="L124" s="298"/>
    </row>
    <row r="125" spans="1:12" hidden="1" outlineLevel="2">
      <c r="A125" s="287"/>
      <c r="B125" s="356"/>
      <c r="C125" s="356"/>
      <c r="D125" s="356"/>
      <c r="E125" s="356"/>
      <c r="F125" s="356"/>
      <c r="G125" s="189"/>
      <c r="H125" s="401"/>
      <c r="I125" s="401"/>
      <c r="J125" s="401"/>
      <c r="K125" s="107">
        <f>E125-B125</f>
        <v>0</v>
      </c>
      <c r="L125" s="298"/>
    </row>
    <row r="126" spans="1:12" hidden="1" outlineLevel="2">
      <c r="A126" s="287"/>
      <c r="B126" s="356"/>
      <c r="C126" s="356"/>
      <c r="D126" s="356"/>
      <c r="E126" s="356"/>
      <c r="F126" s="356"/>
      <c r="G126" s="189"/>
      <c r="H126" s="408"/>
      <c r="I126" s="408"/>
      <c r="J126" s="408"/>
      <c r="K126" s="107">
        <f>E126-B126</f>
        <v>0</v>
      </c>
      <c r="L126" s="298"/>
    </row>
    <row r="127" spans="1:12" ht="12.75" hidden="1" customHeight="1" outlineLevel="1" collapsed="1">
      <c r="A127" s="289"/>
      <c r="B127" s="422" t="s">
        <v>460</v>
      </c>
      <c r="C127" s="423"/>
      <c r="D127" s="423"/>
      <c r="E127" s="423"/>
      <c r="F127" s="423"/>
      <c r="G127" s="423"/>
      <c r="H127" s="423"/>
      <c r="I127" s="423"/>
      <c r="J127" s="423"/>
      <c r="K127" s="424"/>
      <c r="L127" s="108">
        <f>SUM(K123:K126)</f>
        <v>0</v>
      </c>
    </row>
    <row r="128" spans="1:12" ht="12.75" hidden="1" customHeight="1" outlineLevel="1">
      <c r="A128" s="194"/>
      <c r="B128" s="402" t="s">
        <v>461</v>
      </c>
      <c r="C128" s="403"/>
      <c r="D128" s="403"/>
      <c r="E128" s="403"/>
      <c r="F128" s="403"/>
      <c r="G128" s="403"/>
      <c r="H128" s="403"/>
      <c r="I128" s="403"/>
      <c r="J128" s="403"/>
      <c r="K128" s="404"/>
      <c r="L128" s="108">
        <f>L121+L127</f>
        <v>0</v>
      </c>
    </row>
    <row r="129" spans="1:18" hidden="1" outlineLevel="1">
      <c r="A129" s="361" t="s">
        <v>462</v>
      </c>
      <c r="B129" s="361"/>
      <c r="C129" s="361"/>
      <c r="D129" s="361"/>
      <c r="E129" s="361"/>
      <c r="F129" s="361"/>
      <c r="G129" s="361"/>
      <c r="H129" s="361"/>
      <c r="I129" s="361"/>
      <c r="J129" s="361"/>
      <c r="K129" s="361"/>
      <c r="L129" s="108">
        <f>SUM(L15,L21,L27,L39,L49,L59,L70,L78,L86,L94,L103,L112,L121)</f>
        <v>0</v>
      </c>
      <c r="N129" s="3"/>
    </row>
    <row r="130" spans="1:18" hidden="1" outlineLevel="1">
      <c r="A130" s="418" t="s">
        <v>473</v>
      </c>
      <c r="B130" s="361"/>
      <c r="C130" s="361"/>
      <c r="D130" s="361"/>
      <c r="E130" s="361"/>
      <c r="F130" s="361"/>
      <c r="G130" s="361"/>
      <c r="H130" s="361"/>
      <c r="I130" s="361"/>
      <c r="J130" s="361"/>
      <c r="K130" s="361"/>
      <c r="L130" s="108">
        <f>SUM(L18+L24+L36+L46+L56+L67+L75+L83+L91+L100+L109+L118+L127)</f>
        <v>0</v>
      </c>
    </row>
    <row r="131" spans="1:18" hidden="1" outlineLevel="1">
      <c r="A131" s="418" t="s">
        <v>464</v>
      </c>
      <c r="B131" s="361"/>
      <c r="C131" s="361"/>
      <c r="D131" s="361"/>
      <c r="E131" s="361"/>
      <c r="F131" s="361"/>
      <c r="G131" s="361"/>
      <c r="H131" s="361"/>
      <c r="I131" s="361"/>
      <c r="J131" s="361"/>
      <c r="K131" s="361"/>
      <c r="L131" s="108">
        <f>L129+L130</f>
        <v>0</v>
      </c>
    </row>
    <row r="132" spans="1:18" ht="13.5" hidden="1" outlineLevel="1" thickBot="1">
      <c r="A132" s="418" t="s">
        <v>197</v>
      </c>
      <c r="B132" s="361"/>
      <c r="C132" s="361"/>
      <c r="D132" s="361"/>
      <c r="E132" s="361"/>
      <c r="F132" s="361"/>
      <c r="G132" s="361"/>
      <c r="H132" s="361"/>
      <c r="I132" s="361"/>
      <c r="J132" s="361"/>
      <c r="K132" s="361"/>
      <c r="L132" s="115">
        <f>'CO4'!L132</f>
        <v>0</v>
      </c>
    </row>
    <row r="133" spans="1:18" ht="14.45" customHeight="1">
      <c r="A133" s="419" t="s">
        <v>465</v>
      </c>
      <c r="B133" s="420"/>
      <c r="C133" s="420"/>
      <c r="D133" s="420"/>
      <c r="E133" s="420"/>
      <c r="F133" s="420"/>
      <c r="G133" s="420"/>
      <c r="H133" s="420"/>
      <c r="I133" s="420"/>
      <c r="J133" s="420"/>
      <c r="K133" s="420"/>
      <c r="L133" s="421"/>
    </row>
    <row r="134" spans="1:18" ht="26.1" customHeight="1">
      <c r="A134" s="405" t="s">
        <v>466</v>
      </c>
      <c r="B134" s="406"/>
      <c r="C134" s="406"/>
      <c r="D134" s="406"/>
      <c r="E134" s="406"/>
      <c r="F134" s="406"/>
      <c r="G134" s="406"/>
      <c r="H134" s="406"/>
      <c r="I134" s="406"/>
      <c r="J134" s="406"/>
      <c r="K134" s="406"/>
      <c r="L134" s="407"/>
    </row>
    <row r="135" spans="1:18" ht="30" customHeight="1">
      <c r="A135" s="412" t="s">
        <v>204</v>
      </c>
      <c r="B135" s="413"/>
      <c r="C135" s="413"/>
      <c r="D135" s="413"/>
      <c r="E135" s="413"/>
      <c r="F135" s="413"/>
      <c r="G135" s="414"/>
      <c r="H135" s="414"/>
      <c r="I135" s="414"/>
      <c r="J135" s="414"/>
      <c r="K135" s="190" t="s">
        <v>205</v>
      </c>
      <c r="L135" s="113"/>
    </row>
    <row r="136" spans="1:18" ht="30.75" customHeight="1">
      <c r="A136" s="412" t="s">
        <v>207</v>
      </c>
      <c r="B136" s="413"/>
      <c r="C136" s="413"/>
      <c r="D136" s="413"/>
      <c r="E136" s="413"/>
      <c r="F136" s="413"/>
      <c r="G136" s="414"/>
      <c r="H136" s="414"/>
      <c r="I136" s="414"/>
      <c r="J136" s="414"/>
      <c r="K136" s="190" t="s">
        <v>205</v>
      </c>
      <c r="L136" s="113"/>
    </row>
    <row r="137" spans="1:18" ht="31.5" customHeight="1" thickBot="1">
      <c r="A137" s="415" t="s">
        <v>467</v>
      </c>
      <c r="B137" s="416"/>
      <c r="C137" s="416"/>
      <c r="D137" s="416"/>
      <c r="E137" s="416"/>
      <c r="F137" s="416"/>
      <c r="G137" s="417"/>
      <c r="H137" s="417"/>
      <c r="I137" s="417"/>
      <c r="J137" s="417"/>
      <c r="K137" s="85" t="s">
        <v>205</v>
      </c>
      <c r="L137" s="114"/>
    </row>
    <row r="138" spans="1:18" ht="13.5" thickBot="1">
      <c r="A138" s="409" t="s">
        <v>209</v>
      </c>
      <c r="B138" s="410"/>
      <c r="C138" s="410"/>
      <c r="D138" s="410"/>
      <c r="E138" s="410"/>
      <c r="F138" s="410"/>
      <c r="G138" s="410"/>
      <c r="H138" s="410"/>
      <c r="I138" s="410"/>
      <c r="J138" s="410"/>
      <c r="K138" s="410"/>
      <c r="L138" s="411"/>
    </row>
    <row r="139" spans="1:18" s="1" customFormat="1" ht="11.25" customHeight="1">
      <c r="A139" s="2"/>
      <c r="B139" s="2"/>
      <c r="C139" s="2"/>
      <c r="D139" s="2"/>
      <c r="E139" s="2"/>
      <c r="F139" s="2"/>
      <c r="G139" s="2"/>
      <c r="I139"/>
      <c r="J139"/>
      <c r="K139"/>
      <c r="L139"/>
      <c r="M139"/>
      <c r="N139"/>
      <c r="O139"/>
      <c r="P139"/>
      <c r="Q139"/>
      <c r="R139"/>
    </row>
    <row r="140" spans="1:18" s="1" customFormat="1" ht="54.95" customHeight="1">
      <c r="A140" s="280" t="s">
        <v>468</v>
      </c>
      <c r="B140" s="280"/>
      <c r="C140" s="280"/>
      <c r="D140" s="280"/>
      <c r="E140" s="280"/>
      <c r="F140" s="280"/>
      <c r="G140" s="280"/>
      <c r="H140" s="280"/>
      <c r="I140" s="280"/>
      <c r="J140" s="280"/>
      <c r="K140" s="280"/>
      <c r="L140" s="280"/>
      <c r="M140"/>
      <c r="N140"/>
      <c r="O140"/>
      <c r="P140"/>
      <c r="Q140"/>
      <c r="R140"/>
    </row>
    <row r="146" spans="7:7">
      <c r="G146" s="35"/>
    </row>
  </sheetData>
  <sheetProtection algorithmName="SHA-512" hashValue="V6X0zvuphJoT7sGj1+K+9NesXyCWFuWmXs8HJUPvOCunFx5HODeGXOf6j4QBuV41o+4r20xkesbIL7rjtut9AQ==" saltValue="I8WegHQ/Hu5LHiSGhyD6KQ==" spinCount="100000" sheet="1" formatCells="0" formatColumns="0" formatRows="0"/>
  <mergeCells count="311">
    <mergeCell ref="A4:E4"/>
    <mergeCell ref="F4:G4"/>
    <mergeCell ref="H4:J4"/>
    <mergeCell ref="K4:L4"/>
    <mergeCell ref="A6:E6"/>
    <mergeCell ref="F6:G6"/>
    <mergeCell ref="H6:J6"/>
    <mergeCell ref="K6:L6"/>
    <mergeCell ref="A1:L1"/>
    <mergeCell ref="A2:E2"/>
    <mergeCell ref="F2:G2"/>
    <mergeCell ref="H2:J2"/>
    <mergeCell ref="K2:L2"/>
    <mergeCell ref="A3:E3"/>
    <mergeCell ref="F3:G3"/>
    <mergeCell ref="H3:J3"/>
    <mergeCell ref="K3:L3"/>
    <mergeCell ref="A5:E5"/>
    <mergeCell ref="F5:G5"/>
    <mergeCell ref="H5:J5"/>
    <mergeCell ref="K5:L5"/>
    <mergeCell ref="A10:E10"/>
    <mergeCell ref="F10:G10"/>
    <mergeCell ref="H10:J10"/>
    <mergeCell ref="K10:L10"/>
    <mergeCell ref="A11:L11"/>
    <mergeCell ref="A12:L12"/>
    <mergeCell ref="A7:E7"/>
    <mergeCell ref="F7:G7"/>
    <mergeCell ref="H7:J7"/>
    <mergeCell ref="K7:L7"/>
    <mergeCell ref="A8:L8"/>
    <mergeCell ref="A9:E9"/>
    <mergeCell ref="F9:G9"/>
    <mergeCell ref="H9:J9"/>
    <mergeCell ref="K9:L9"/>
    <mergeCell ref="A13:L13"/>
    <mergeCell ref="A14:L14"/>
    <mergeCell ref="A15:A18"/>
    <mergeCell ref="B15:K15"/>
    <mergeCell ref="B16:D16"/>
    <mergeCell ref="E16:F16"/>
    <mergeCell ref="H16:J16"/>
    <mergeCell ref="B17:D17"/>
    <mergeCell ref="E17:F17"/>
    <mergeCell ref="H17:J17"/>
    <mergeCell ref="B18:K18"/>
    <mergeCell ref="B19:K19"/>
    <mergeCell ref="A20:L20"/>
    <mergeCell ref="A21:A24"/>
    <mergeCell ref="B21:K21"/>
    <mergeCell ref="B22:D22"/>
    <mergeCell ref="E22:F22"/>
    <mergeCell ref="H22:J22"/>
    <mergeCell ref="B23:D23"/>
    <mergeCell ref="E23:F23"/>
    <mergeCell ref="H23:J23"/>
    <mergeCell ref="B24:K24"/>
    <mergeCell ref="B25:K25"/>
    <mergeCell ref="A26:L26"/>
    <mergeCell ref="A27:A36"/>
    <mergeCell ref="B27:K27"/>
    <mergeCell ref="B28:D28"/>
    <mergeCell ref="E28:F28"/>
    <mergeCell ref="H28:J28"/>
    <mergeCell ref="B29:D29"/>
    <mergeCell ref="E32:F32"/>
    <mergeCell ref="H32:J32"/>
    <mergeCell ref="B33:D33"/>
    <mergeCell ref="E33:F33"/>
    <mergeCell ref="H33:J33"/>
    <mergeCell ref="B34:D34"/>
    <mergeCell ref="E34:F34"/>
    <mergeCell ref="H34:J34"/>
    <mergeCell ref="E29:F29"/>
    <mergeCell ref="H29:J29"/>
    <mergeCell ref="B30:D30"/>
    <mergeCell ref="E30:F30"/>
    <mergeCell ref="H30:J30"/>
    <mergeCell ref="B31:D31"/>
    <mergeCell ref="E31:F31"/>
    <mergeCell ref="H31:J31"/>
    <mergeCell ref="B32:D32"/>
    <mergeCell ref="L41:L45"/>
    <mergeCell ref="B42:D42"/>
    <mergeCell ref="E42:F42"/>
    <mergeCell ref="H42:J42"/>
    <mergeCell ref="B43:D43"/>
    <mergeCell ref="E43:F43"/>
    <mergeCell ref="H43:J43"/>
    <mergeCell ref="B35:D35"/>
    <mergeCell ref="E35:K35"/>
    <mergeCell ref="B36:K36"/>
    <mergeCell ref="B37:K37"/>
    <mergeCell ref="A38:L38"/>
    <mergeCell ref="A39:A46"/>
    <mergeCell ref="B39:K39"/>
    <mergeCell ref="B40:D40"/>
    <mergeCell ref="E40:F40"/>
    <mergeCell ref="H40:J40"/>
    <mergeCell ref="L29:L35"/>
    <mergeCell ref="B44:D44"/>
    <mergeCell ref="E44:F44"/>
    <mergeCell ref="H44:J44"/>
    <mergeCell ref="B45:D45"/>
    <mergeCell ref="E45:K45"/>
    <mergeCell ref="B46:K46"/>
    <mergeCell ref="B41:D41"/>
    <mergeCell ref="E41:F41"/>
    <mergeCell ref="H41:J41"/>
    <mergeCell ref="B47:K47"/>
    <mergeCell ref="A48:L48"/>
    <mergeCell ref="A49:A56"/>
    <mergeCell ref="B49:K49"/>
    <mergeCell ref="B50:D50"/>
    <mergeCell ref="E50:F50"/>
    <mergeCell ref="H50:J50"/>
    <mergeCell ref="B51:D51"/>
    <mergeCell ref="E51:F51"/>
    <mergeCell ref="H51:J51"/>
    <mergeCell ref="B55:D55"/>
    <mergeCell ref="E55:K55"/>
    <mergeCell ref="B56:K56"/>
    <mergeCell ref="L51:L55"/>
    <mergeCell ref="B52:D52"/>
    <mergeCell ref="E52:F52"/>
    <mergeCell ref="H52:J52"/>
    <mergeCell ref="B53:D53"/>
    <mergeCell ref="E53:F53"/>
    <mergeCell ref="H53:J53"/>
    <mergeCell ref="B54:D54"/>
    <mergeCell ref="E54:F54"/>
    <mergeCell ref="H54:J54"/>
    <mergeCell ref="B63:D63"/>
    <mergeCell ref="E63:F63"/>
    <mergeCell ref="H63:J63"/>
    <mergeCell ref="B66:D66"/>
    <mergeCell ref="E66:K66"/>
    <mergeCell ref="B57:K57"/>
    <mergeCell ref="A58:L58"/>
    <mergeCell ref="A59:A67"/>
    <mergeCell ref="B59:K59"/>
    <mergeCell ref="B60:D60"/>
    <mergeCell ref="E60:F60"/>
    <mergeCell ref="H60:J60"/>
    <mergeCell ref="B64:D64"/>
    <mergeCell ref="E64:F64"/>
    <mergeCell ref="H64:J64"/>
    <mergeCell ref="B65:D65"/>
    <mergeCell ref="E65:F65"/>
    <mergeCell ref="H65:J65"/>
    <mergeCell ref="B61:D61"/>
    <mergeCell ref="B67:K67"/>
    <mergeCell ref="B68:K68"/>
    <mergeCell ref="A69:L69"/>
    <mergeCell ref="A70:A75"/>
    <mergeCell ref="B70:K70"/>
    <mergeCell ref="B71:D71"/>
    <mergeCell ref="E71:F71"/>
    <mergeCell ref="H71:J71"/>
    <mergeCell ref="L61:L66"/>
    <mergeCell ref="B72:D72"/>
    <mergeCell ref="E72:F72"/>
    <mergeCell ref="H72:J72"/>
    <mergeCell ref="L72:L74"/>
    <mergeCell ref="B73:D73"/>
    <mergeCell ref="E73:F73"/>
    <mergeCell ref="H73:J73"/>
    <mergeCell ref="B74:D74"/>
    <mergeCell ref="E74:F74"/>
    <mergeCell ref="H74:J74"/>
    <mergeCell ref="E61:F61"/>
    <mergeCell ref="H61:J61"/>
    <mergeCell ref="B62:D62"/>
    <mergeCell ref="E62:F62"/>
    <mergeCell ref="H62:J62"/>
    <mergeCell ref="H80:J80"/>
    <mergeCell ref="L80:L82"/>
    <mergeCell ref="B81:D81"/>
    <mergeCell ref="E81:F81"/>
    <mergeCell ref="H81:J81"/>
    <mergeCell ref="B82:D82"/>
    <mergeCell ref="E82:F82"/>
    <mergeCell ref="H82:J82"/>
    <mergeCell ref="B75:K75"/>
    <mergeCell ref="B76:K76"/>
    <mergeCell ref="A77:L77"/>
    <mergeCell ref="A78:A83"/>
    <mergeCell ref="B78:K78"/>
    <mergeCell ref="B79:D79"/>
    <mergeCell ref="E79:F79"/>
    <mergeCell ref="H79:J79"/>
    <mergeCell ref="B80:D80"/>
    <mergeCell ref="E80:F80"/>
    <mergeCell ref="H88:J88"/>
    <mergeCell ref="L88:L90"/>
    <mergeCell ref="B89:D89"/>
    <mergeCell ref="E89:F89"/>
    <mergeCell ref="H89:J89"/>
    <mergeCell ref="B90:D90"/>
    <mergeCell ref="E90:F90"/>
    <mergeCell ref="H90:J90"/>
    <mergeCell ref="B83:K83"/>
    <mergeCell ref="B84:K84"/>
    <mergeCell ref="A85:L85"/>
    <mergeCell ref="A86:A91"/>
    <mergeCell ref="B86:K86"/>
    <mergeCell ref="B87:D87"/>
    <mergeCell ref="E87:F87"/>
    <mergeCell ref="H87:J87"/>
    <mergeCell ref="B88:D88"/>
    <mergeCell ref="E88:F88"/>
    <mergeCell ref="B91:K91"/>
    <mergeCell ref="B92:K92"/>
    <mergeCell ref="A93:L93"/>
    <mergeCell ref="A94:A100"/>
    <mergeCell ref="B94:K94"/>
    <mergeCell ref="B95:D95"/>
    <mergeCell ref="E95:F95"/>
    <mergeCell ref="H95:J95"/>
    <mergeCell ref="B96:D96"/>
    <mergeCell ref="E96:F96"/>
    <mergeCell ref="H96:J96"/>
    <mergeCell ref="L96:L99"/>
    <mergeCell ref="B97:D97"/>
    <mergeCell ref="E97:F97"/>
    <mergeCell ref="H97:J97"/>
    <mergeCell ref="B98:D98"/>
    <mergeCell ref="E98:F98"/>
    <mergeCell ref="H98:J98"/>
    <mergeCell ref="B99:D99"/>
    <mergeCell ref="E99:K99"/>
    <mergeCell ref="B100:K100"/>
    <mergeCell ref="B101:K101"/>
    <mergeCell ref="A102:L102"/>
    <mergeCell ref="A103:A109"/>
    <mergeCell ref="B103:K103"/>
    <mergeCell ref="B104:D104"/>
    <mergeCell ref="E104:F104"/>
    <mergeCell ref="H104:J104"/>
    <mergeCell ref="B105:D105"/>
    <mergeCell ref="E105:F105"/>
    <mergeCell ref="B108:D108"/>
    <mergeCell ref="E108:F108"/>
    <mergeCell ref="H108:J108"/>
    <mergeCell ref="B109:K109"/>
    <mergeCell ref="B110:K110"/>
    <mergeCell ref="A111:L111"/>
    <mergeCell ref="H105:J105"/>
    <mergeCell ref="B106:D106"/>
    <mergeCell ref="E106:F106"/>
    <mergeCell ref="H106:J106"/>
    <mergeCell ref="B107:D107"/>
    <mergeCell ref="E107:F107"/>
    <mergeCell ref="H107:J107"/>
    <mergeCell ref="A112:A118"/>
    <mergeCell ref="B112:K112"/>
    <mergeCell ref="B113:D113"/>
    <mergeCell ref="E113:F113"/>
    <mergeCell ref="H113:J113"/>
    <mergeCell ref="B114:D114"/>
    <mergeCell ref="E114:F114"/>
    <mergeCell ref="H114:J114"/>
    <mergeCell ref="B118:K118"/>
    <mergeCell ref="L114:L117"/>
    <mergeCell ref="B115:D115"/>
    <mergeCell ref="E115:F115"/>
    <mergeCell ref="H115:J115"/>
    <mergeCell ref="B116:D116"/>
    <mergeCell ref="E116:F116"/>
    <mergeCell ref="H116:J116"/>
    <mergeCell ref="B117:D117"/>
    <mergeCell ref="E117:F117"/>
    <mergeCell ref="H117:J117"/>
    <mergeCell ref="B119:K119"/>
    <mergeCell ref="A120:L120"/>
    <mergeCell ref="A121:A127"/>
    <mergeCell ref="B121:F121"/>
    <mergeCell ref="H121:J121"/>
    <mergeCell ref="B122:D122"/>
    <mergeCell ref="E122:F122"/>
    <mergeCell ref="H122:J122"/>
    <mergeCell ref="B123:D123"/>
    <mergeCell ref="E123:F123"/>
    <mergeCell ref="H126:J126"/>
    <mergeCell ref="B127:K127"/>
    <mergeCell ref="B128:K128"/>
    <mergeCell ref="A129:K129"/>
    <mergeCell ref="A130:K130"/>
    <mergeCell ref="A132:K132"/>
    <mergeCell ref="H123:J123"/>
    <mergeCell ref="L123:L126"/>
    <mergeCell ref="B124:D124"/>
    <mergeCell ref="E124:F124"/>
    <mergeCell ref="H124:J124"/>
    <mergeCell ref="B125:D125"/>
    <mergeCell ref="E125:F125"/>
    <mergeCell ref="H125:J125"/>
    <mergeCell ref="B126:D126"/>
    <mergeCell ref="E126:F126"/>
    <mergeCell ref="A131:K131"/>
    <mergeCell ref="A137:F137"/>
    <mergeCell ref="G137:J137"/>
    <mergeCell ref="A138:L138"/>
    <mergeCell ref="A140:L140"/>
    <mergeCell ref="A133:L133"/>
    <mergeCell ref="A134:L134"/>
    <mergeCell ref="A135:F135"/>
    <mergeCell ref="G135:J135"/>
    <mergeCell ref="A136:F136"/>
    <mergeCell ref="G136:J136"/>
  </mergeCells>
  <dataValidations count="1">
    <dataValidation operator="lessThan" allowBlank="1" showInputMessage="1" showErrorMessage="1" sqref="A1:L1048576" xr:uid="{71EF4CE8-9050-4AE4-9777-B2F191F31625}"/>
  </dataValidations>
  <pageMargins left="0.7" right="0.7" top="0.75" bottom="0.75" header="0.3" footer="0.3"/>
  <pageSetup orientation="landscape"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1 6 " ? > < D a t a M a s h u p   x m l n s = " h t t p : / / s c h e m a s . m i c r o s o f t . c o m / D a t a M a s h u p " > A A A A A B Q D A A B Q S w M E F A A C A A g A n F 1 2 V I c g v y S k A A A A 9 Q A A A B I A H A B D b 2 5 m a W c v U G F j a 2 F n Z S 5 4 b W w g o h g A K K A U A A A A A A A A A A A A A A A A A A A A A A A A A A A A h Y + x D o I w G I R f h X S n r d U Y J D 9 l c J X E h G h c m 1 K h E Y q h x f J u D j 6 S r y B G U T f H + + 4 u u b t f b 5 A O T R 1 c V G d 1 a x I 0 w x Q F y s i 2 0 K Z M U O + O Y Y R S D l s h T 6 J U w R g 2 N h 6 s T l D l 3 D k m x H u P / R y 3 X U k Y p T N y y D a 5 r F Q j Q m 2 s E 0 Y q 9 G k V / 1 u I w / 4 1 h j O 8 W u J o w T A F M j H I t P n 6 b J z 7 d H 8 g r P v a 9 Z 3 i y o S 7 H M g k g b w v 8 A d Q S w M E F A A C A A g A n F 1 2 V A / K 6 a u k A A A A 6 Q A A A B M A H A B b Q 2 9 u d G V u d F 9 U e X B l c 1 0 u e G 1 s I K I Y A C i g F A A A A A A A A A A A A A A A A A A A A A A A A A A A A G 2 O S w 7 C M A x E r x J 5 n 7 q w Q A g 1 Z Q H c g A t E w f 2 I 5 q P G R e F s L D g S V y B t d 4 i l Z + Z 5 5 v N 6 V 8 d k B / G g M f b e K d g U J Q h y x t 9 6 1 y q Y u J F 7 O N b V 9 R k o i h x 1 U U H H H A 6 I 0 X R k d S x 8 I J e d x o 9 W c z 7 H F o M 2 d 9 0 S b s t y h 8 Y 7 J s e S 5 x 9 Q V 2 d q 9 D S w u K Q s r 7 U Z B 3 F a c 3 O V A q b E u M j 4 l 7 A / e R 3 C 0 B v N 2 c Q k b Z R 2 I X E Z X n 8 B U E s D B B Q A A g A I A J x d d l Q o i k e 4 D g A A A B E A A A A T A B w A R m 9 y b X V s Y X M v U 2 V j d G l v b j E u b S C i G A A o o B Q A A A A A A A A A A A A A A A A A A A A A A A A A A A A r T k 0 u y c z P U w i G 0 I b W A F B L A Q I t A B Q A A g A I A J x d d l S H I L 8 k p A A A A P U A A A A S A A A A A A A A A A A A A A A A A A A A A A B D b 2 5 m a W c v U G F j a 2 F n Z S 5 4 b W x Q S w E C L Q A U A A I A C A C c X X Z U D 8 r p q 6 Q A A A D p A A A A E w A A A A A A A A A A A A A A A A D w A A A A W 0 N v b n R l b n R f V H l w Z X N d L n h t b F B L A Q I t A B Q A A g A I A J x d d l Q o i k e 4 D g A A A B E A A A A T A A A A A A A A A A A A A A A A A O E B A A B G b 3 J t d W x h c y 9 T Z W N 0 a W 9 u M S 5 t U E s F B g A A A A A D A A M A w g A A A D w C A A A A A B A B A A D v u 7 8 8 P 3 h t b C B 2 Z X J z a W 9 u P S I x L j A i I G V u Y 2 9 k a W 5 n P S J 1 d G Y t O C I / P j x Q Z X J t a X N z a W 9 u T G l z d C B 4 b W x u c z p 4 c 2 k 9 I m h 0 d H A 6 L y 9 3 d 3 c u d z M u b 3 J n L z I w M D E v W E 1 M U 2 N o Z W 1 h L W l u c 3 R h b m N l I i B 4 b W x u c z p 4 c 2 Q 9 I m h 0 d H A 6 L y 9 3 d 3 c u d z M u b 3 J n L z I w M D E v W E 1 M U 2 N o Z W 1 h I j 4 8 Q 2 F u R X Z h b H V h d G V G d X R 1 c m V Q Y W N r Y W d l c z 5 m Y W x z Z T w v Q 2 F u R X Z h b H V h d G V G d X R 1 c m V Q Y W N r Y W d l c z 4 8 R m l y Z X d h b G x F b m F i b G V k P n R y d W U 8 L 0 Z p c m V 3 Y W x s R W 5 h Y m x l Z D 4 8 L 1 B l c m 1 p c 3 N p b 2 5 M a X N 0 P p c B A A A A A A A A d Q E A A O + 7 v z w / e G 1 s I H Z l c n N p b 2 4 9 I j E u M C I g Z W 5 j b 2 R p b m c 9 I n V 0 Z i 0 4 I j 8 + P E x v Y 2 F s U G F j a 2 F n Z U 1 l d G F k Y X R h R m l s Z S B 4 b W x u c z p 4 c 2 k 9 I m h 0 d H A 6 L y 9 3 d 3 c u d z M u b 3 J n L z I w M D E v W E 1 M U 2 N o Z W 1 h L W l u c 3 R h b m N l I i B 4 b W x u c z p 4 c 2 Q 9 I m h 0 d H A 6 L y 9 3 d 3 c u d z M u b 3 J n L z I w M D E v W E 1 M U 2 N o Z W 1 h I j 4 8 S X R l b X M + P E l 0 Z W 0 + P E l 0 Z W 1 M b 2 N h d G l v b j 4 8 S X R l b V R 5 c G U + Q W x s R m 9 y b X V s Y X M 8 L 0 l 0 Z W 1 U e X B l P j x J d G V t U G F 0 a C A v P j w v S X R l b U x v Y 2 F 0 a W 9 u P j x T d G F i b G V F b n R y a W V z P j x F b n R y e S B U e X B l P S J S Z W x h d G l v b n N o a X B z I i B W Y W x 1 Z T 0 i c 0 F B Q U F B Q T 0 9 I i A v P j w v U 3 R h Y m x l R W 5 0 c m l l c z 4 8 L 0 l 0 Z W 0 + P C 9 J d G V t c z 4 8 L 0 x v Y 2 F s U G F j a 2 F n Z U 1 l d G F k Y X R h R m l s Z T 4 W A A A A U E s F B g A A A A A A A A A A A A A A A A A A A A A A A N o A A A A B A A A A 0 I y d 3 w E V 0 R G M e g D A T 8 K X 6 w E A A A C h t 3 R x R 6 r q T 5 l 5 u c Y u s t C D A A A A A A I A A A A A A A N m A A D A A A A A E A A A A P M 7 e + G F a x q e e e 5 W I l F a A a Y A A A A A B I A A A K A A A A A Q A A A A t J v 5 m 3 o m R B 7 s y n u P H Q N N a V A A A A C T j t k W S 5 I 3 l g r I 5 w j L P o E x n 0 b v D 8 2 E G / G M I y H F y v 9 d D x J 8 I 9 N S T y l X c W W E K 4 8 3 I A m c A L E X F P K o f u K B q v b 5 U u C Y R m r z g V 2 U O Z / a B S b M 8 3 M m 6 h Q A A A B z 3 G 0 S g b J 9 k 9 p 9 u H o g W X 3 1 K S o a 5 Q = = < / D a t a M a s h u p > 
</file>

<file path=customXml/item4.xml><?xml version="1.0" encoding="utf-8"?>
<p:properties xmlns:p="http://schemas.microsoft.com/office/2006/metadata/properties" xmlns:xsi="http://www.w3.org/2001/XMLSchema-instance" xmlns:pc="http://schemas.microsoft.com/office/infopath/2007/PartnerControls">
  <documentManagement>
    <Additional_x0020_File_x0020_Header_x0020_Info xmlns="9271d55d-c789-4661-9b95-3dc6195f5542" xsi:nil="true"/>
    <_dlc_DocId xmlns="05ae06be-15d9-46bd-bcfe-bd38703688c6">5456MLPZ9F5K-253731926-523770</_dlc_DocId>
    <_dlc_DocIdUrl xmlns="05ae06be-15d9-46bd-bcfe-bd38703688c6">
      <Url>https://texasrebuilds.sharepoint.com/sites/team-sites/housing/sf/_layouts/15/DocIdRedir.aspx?ID=5456MLPZ9F5K-253731926-523770</Url>
      <Description>5456MLPZ9F5K-253731926-523770</Description>
    </_dlc_DocIdUrl>
    <TaxCatchAll xmlns="05ae06be-15d9-46bd-bcfe-bd38703688c6"/>
  </documentManagement>
</p:properties>
</file>

<file path=customXml/item5.xml><?xml version="1.0" encoding="utf-8"?>
<ct:contentTypeSchema xmlns:ct="http://schemas.microsoft.com/office/2006/metadata/contentType" xmlns:ma="http://schemas.microsoft.com/office/2006/metadata/properties/metaAttributes" ct:_="" ma:_="" ma:contentTypeName="Document" ma:contentTypeID="0x01010000547EF65395E5439FF04195D127056A" ma:contentTypeVersion="18" ma:contentTypeDescription="Create a new document." ma:contentTypeScope="" ma:versionID="57efb22d8674e689a2fe1dce1e83eec3">
  <xsd:schema xmlns:xsd="http://www.w3.org/2001/XMLSchema" xmlns:xs="http://www.w3.org/2001/XMLSchema" xmlns:p="http://schemas.microsoft.com/office/2006/metadata/properties" xmlns:ns2="9271d55d-c789-4661-9b95-3dc6195f5542" xmlns:ns3="44be9d99-3029-4e34-b5df-e831d0c37fe9" xmlns:ns4="05ae06be-15d9-46bd-bcfe-bd38703688c6" targetNamespace="http://schemas.microsoft.com/office/2006/metadata/properties" ma:root="true" ma:fieldsID="4d9b9c3cba0216183946c6fd7ffaf3f7" ns2:_="" ns3:_="" ns4:_="">
    <xsd:import namespace="9271d55d-c789-4661-9b95-3dc6195f5542"/>
    <xsd:import namespace="44be9d99-3029-4e34-b5df-e831d0c37fe9"/>
    <xsd:import namespace="05ae06be-15d9-46bd-bcfe-bd38703688c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DateTaken" minOccurs="0"/>
                <xsd:element ref="ns2:MediaServiceLocation" minOccurs="0"/>
                <xsd:element ref="ns2:MediaServiceGenerationTime" minOccurs="0"/>
                <xsd:element ref="ns2:MediaServiceEventHashCode" minOccurs="0"/>
                <xsd:element ref="ns4:_dlc_DocId" minOccurs="0"/>
                <xsd:element ref="ns4:_dlc_DocIdUrl" minOccurs="0"/>
                <xsd:element ref="ns4:_dlc_DocIdPersistId" minOccurs="0"/>
                <xsd:element ref="ns2:MediaServiceAutoKeyPoints" minOccurs="0"/>
                <xsd:element ref="ns2:MediaServiceKeyPoints" minOccurs="0"/>
                <xsd:element ref="ns2:Additional_x0020_File_x0020_Header_x0020_Info" minOccurs="0"/>
                <xsd:element ref="ns2:MediaLengthInSeconds"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71d55d-c789-4661-9b95-3dc6195f55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21" nillable="true" ma:displayName="MediaServiceAutoKeyPoints" ma:hidden="true" ma:internalName="MediaServiceAutoKeyPoints" ma:readOnly="true">
      <xsd:simpleType>
        <xsd:restriction base="dms:Note"/>
      </xsd:simpleType>
    </xsd:element>
    <xsd:element name="MediaServiceKeyPoints" ma:index="22" nillable="true" ma:displayName="KeyPoints" ma:internalName="MediaServiceKeyPoints" ma:readOnly="true">
      <xsd:simpleType>
        <xsd:restriction base="dms:Note">
          <xsd:maxLength value="255"/>
        </xsd:restriction>
      </xsd:simpleType>
    </xsd:element>
    <xsd:element name="Additional_x0020_File_x0020_Header_x0020_Info" ma:index="23" nillable="true" ma:displayName="Additional File Header Info" ma:description="Use this field to add useful information for users about this file without having to open it to view the content." ma:internalName="Additional_x0020_File_x0020_Header_x0020_Info">
      <xsd:simpleType>
        <xsd:restriction base="dms:Note">
          <xsd:maxLength value="255"/>
        </xsd:restriction>
      </xsd:simpleType>
    </xsd:element>
    <xsd:element name="MediaLengthInSeconds" ma:index="24"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4be9d99-3029-4e34-b5df-e831d0c37fe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05ae06be-15d9-46bd-bcfe-bd38703688c6" elementFormDefault="qualified">
    <xsd:import namespace="http://schemas.microsoft.com/office/2006/documentManagement/types"/>
    <xsd:import namespace="http://schemas.microsoft.com/office/infopath/2007/PartnerControls"/>
    <xsd:element name="_dlc_DocId" ma:index="18" nillable="true" ma:displayName="Document ID Value" ma:description="The value of the document ID assigned to this item." ma:internalName="_dlc_DocId" ma:readOnly="true">
      <xsd:simpleType>
        <xsd:restriction base="dms:Text"/>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0" nillable="true" ma:displayName="Persist ID" ma:description="Keep ID on add." ma:hidden="true" ma:internalName="_dlc_DocIdPersistId" ma:readOnly="true">
      <xsd:simpleType>
        <xsd:restriction base="dms:Boolean"/>
      </xsd:simpleType>
    </xsd:element>
    <xsd:element name="TaxCatchAll" ma:index="25" nillable="true" ma:displayName="Taxonomy Catch All Column" ma:hidden="true" ma:list="{a339ed50-61b1-4dc8-b962-937091dda7d0}" ma:internalName="TaxCatchAll" ma:showField="CatchAllData" ma:web="05ae06be-15d9-46bd-bcfe-bd38703688c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6F454BA-F8D0-4096-887D-4F2131754400}"/>
</file>

<file path=customXml/itemProps2.xml><?xml version="1.0" encoding="utf-8"?>
<ds:datastoreItem xmlns:ds="http://schemas.openxmlformats.org/officeDocument/2006/customXml" ds:itemID="{0D67AF99-5772-49A8-825B-5069A6AD1518}"/>
</file>

<file path=customXml/itemProps3.xml><?xml version="1.0" encoding="utf-8"?>
<ds:datastoreItem xmlns:ds="http://schemas.openxmlformats.org/officeDocument/2006/customXml" ds:itemID="{CB99CDA1-776E-4295-A65A-BF62C8267074}"/>
</file>

<file path=customXml/itemProps4.xml><?xml version="1.0" encoding="utf-8"?>
<ds:datastoreItem xmlns:ds="http://schemas.openxmlformats.org/officeDocument/2006/customXml" ds:itemID="{56CEFC4A-4652-4FC3-A93D-9D7EB15ACFD2}"/>
</file>

<file path=customXml/itemProps5.xml><?xml version="1.0" encoding="utf-8"?>
<ds:datastoreItem xmlns:ds="http://schemas.openxmlformats.org/officeDocument/2006/customXml" ds:itemID="{48F59C76-12FD-4992-8323-E9861DF1A71E}"/>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Household Income Certification (HIC)</dc:title>
  <dc:subject/>
  <dc:creator>LROLFES</dc:creator>
  <cp:keywords/>
  <dc:description/>
  <cp:lastModifiedBy/>
  <cp:revision/>
  <dcterms:created xsi:type="dcterms:W3CDTF">2019-01-21T19:28:58Z</dcterms:created>
  <dcterms:modified xsi:type="dcterms:W3CDTF">2023-07-12T16:24:43Z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0x01010000547EF65395E5439FF04195D127056A</vt:lpwstr>
  </property>
  <property fmtid="{D5CDD505-2E9C-101B-9397-08002B2CF9AE}" pid="3" name="_dlc_DocIdItemGuid">
    <vt:lpwstr>b8311a2e-563c-463a-978e-03619220a4eb</vt:lpwstr>
  </property>
</Properties>
</file>